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work\Teaching\2023-2024_Aspen\"/>
    </mc:Choice>
  </mc:AlternateContent>
  <xr:revisionPtr revIDLastSave="0" documentId="13_ncr:1_{B9AD9645-41B4-44F9-93D6-AB8528BAD5FE}" xr6:coauthVersionLast="47" xr6:coauthVersionMax="47" xr10:uidLastSave="{00000000-0000-0000-0000-000000000000}"/>
  <bookViews>
    <workbookView xWindow="-98" yWindow="-98" windowWidth="20715" windowHeight="13276" tabRatio="353" xr2:uid="{00000000-000D-0000-FFFF-FFFF00000000}"/>
  </bookViews>
  <sheets>
    <sheet name="Sheet1" sheetId="1" r:id="rId1"/>
  </sheets>
  <definedNames>
    <definedName name="Excel_BuiltIn_Print_Area">NA()</definedName>
    <definedName name="Excel_BuiltIn_Print_Area_1">NA()</definedName>
    <definedName name="Excel_BuiltIn_Print_Area_2">NA()</definedName>
    <definedName name="Excel_BuiltIn_Sheet_Title">"Sheet1"</definedName>
    <definedName name="Excel_BuiltIn_Sheet_Title_1">"Sheet2"</definedName>
    <definedName name="Excel_BuiltIn_Sheet_Title_2">"Sheet3"</definedName>
    <definedName name="solver_adj" localSheetId="0" hidden="1">Sheet1!$F$77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Sheet1!$F$85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1</definedName>
    <definedName name="solver_ver" localSheetId="0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4" i="1" l="1"/>
  <c r="L83" i="1"/>
  <c r="D79" i="1" l="1"/>
  <c r="C79" i="1"/>
  <c r="E52" i="1"/>
  <c r="E53" i="1"/>
  <c r="E54" i="1"/>
  <c r="E55" i="1"/>
  <c r="E51" i="1"/>
  <c r="F34" i="1"/>
  <c r="F48" i="1" s="1"/>
  <c r="E38" i="1"/>
  <c r="E39" i="1"/>
  <c r="E40" i="1"/>
  <c r="E41" i="1"/>
  <c r="E37" i="1"/>
  <c r="E8" i="1"/>
  <c r="F8" i="1" s="1"/>
  <c r="E9" i="1"/>
  <c r="F9" i="1" s="1"/>
  <c r="E10" i="1"/>
  <c r="F10" i="1" s="1"/>
  <c r="E11" i="1"/>
  <c r="F11" i="1" s="1"/>
  <c r="E7" i="1"/>
  <c r="F7" i="1" s="1"/>
  <c r="F41" i="1" l="1"/>
  <c r="F55" i="1"/>
  <c r="F54" i="1"/>
  <c r="H54" i="1" s="1"/>
  <c r="F37" i="1"/>
  <c r="F38" i="1"/>
  <c r="F53" i="1"/>
  <c r="F51" i="1"/>
  <c r="F52" i="1"/>
  <c r="F39" i="1"/>
  <c r="F40" i="1"/>
  <c r="H40" i="1" s="1"/>
  <c r="C23" i="1"/>
  <c r="H10" i="1"/>
  <c r="C24" i="1"/>
  <c r="C12" i="1"/>
  <c r="D7" i="1" s="1"/>
  <c r="G7" i="1" l="1"/>
  <c r="C80" i="1"/>
  <c r="H39" i="1"/>
  <c r="H38" i="1"/>
  <c r="H52" i="1"/>
  <c r="D23" i="1"/>
  <c r="D64" i="1"/>
  <c r="H37" i="1"/>
  <c r="H41" i="1"/>
  <c r="D24" i="1"/>
  <c r="D65" i="1"/>
  <c r="H51" i="1"/>
  <c r="C65" i="1"/>
  <c r="H53" i="1"/>
  <c r="H55" i="1"/>
  <c r="H9" i="1"/>
  <c r="H8" i="1"/>
  <c r="F22" i="1" s="1"/>
  <c r="H11" i="1"/>
  <c r="H7" i="1"/>
  <c r="D10" i="1"/>
  <c r="D11" i="1"/>
  <c r="D8" i="1"/>
  <c r="D9" i="1"/>
  <c r="F24" i="1"/>
  <c r="C62" i="1" l="1"/>
  <c r="E80" i="1" s="1"/>
  <c r="G65" i="1"/>
  <c r="E83" i="1"/>
  <c r="G8" i="1"/>
  <c r="C81" i="1"/>
  <c r="G11" i="1"/>
  <c r="C84" i="1"/>
  <c r="G10" i="1"/>
  <c r="C83" i="1"/>
  <c r="G9" i="1"/>
  <c r="C82" i="1"/>
  <c r="F21" i="1"/>
  <c r="E24" i="1"/>
  <c r="E65" i="1"/>
  <c r="E69" i="1" s="1"/>
  <c r="H69" i="1" s="1"/>
  <c r="F25" i="1"/>
  <c r="C66" i="1"/>
  <c r="E23" i="1"/>
  <c r="E64" i="1"/>
  <c r="F23" i="1"/>
  <c r="C64" i="1"/>
  <c r="C63" i="1"/>
  <c r="D28" i="1"/>
  <c r="G29" i="1" s="1"/>
  <c r="D12" i="1"/>
  <c r="C85" i="1" s="1"/>
  <c r="F80" i="1" l="1"/>
  <c r="G63" i="1"/>
  <c r="E81" i="1"/>
  <c r="G64" i="1"/>
  <c r="E82" i="1"/>
  <c r="G66" i="1"/>
  <c r="E84" i="1"/>
  <c r="G62" i="1"/>
  <c r="H62" i="1" s="1"/>
  <c r="I62" i="1" s="1"/>
  <c r="J62" i="1" s="1"/>
  <c r="F83" i="1"/>
  <c r="F64" i="1"/>
  <c r="G28" i="1"/>
  <c r="G12" i="1"/>
  <c r="F82" i="1" l="1"/>
  <c r="F84" i="1"/>
  <c r="F81" i="1"/>
  <c r="F85" i="1" s="1"/>
  <c r="L62" i="1"/>
  <c r="H70" i="1"/>
  <c r="G21" i="1"/>
  <c r="H21" i="1" s="1"/>
  <c r="I21" i="1" s="1"/>
  <c r="G25" i="1"/>
  <c r="H25" i="1" s="1"/>
  <c r="I25" i="1" s="1"/>
  <c r="G24" i="1"/>
  <c r="H24" i="1" s="1"/>
  <c r="I24" i="1" s="1"/>
  <c r="G22" i="1"/>
  <c r="H22" i="1" s="1"/>
  <c r="I22" i="1" s="1"/>
  <c r="G23" i="1"/>
  <c r="H23" i="1" s="1"/>
  <c r="I23" i="1" s="1"/>
  <c r="K22" i="1" l="1"/>
  <c r="C52" i="1" s="1"/>
  <c r="C38" i="1"/>
  <c r="K24" i="1"/>
  <c r="C54" i="1" s="1"/>
  <c r="C40" i="1"/>
  <c r="K25" i="1"/>
  <c r="C55" i="1" s="1"/>
  <c r="C41" i="1"/>
  <c r="K23" i="1"/>
  <c r="C53" i="1" s="1"/>
  <c r="C39" i="1"/>
  <c r="K21" i="1"/>
  <c r="C51" i="1" s="1"/>
  <c r="C37" i="1"/>
  <c r="I26" i="1"/>
  <c r="C56" i="1" l="1"/>
  <c r="D53" i="1" s="1"/>
  <c r="G53" i="1" s="1"/>
  <c r="C42" i="1"/>
  <c r="D40" i="1" s="1"/>
  <c r="G40" i="1" s="1"/>
  <c r="K26" i="1"/>
  <c r="L23" i="1" s="1"/>
  <c r="J21" i="1"/>
  <c r="G80" i="1" s="1"/>
  <c r="J22" i="1"/>
  <c r="G81" i="1" s="1"/>
  <c r="J23" i="1"/>
  <c r="G82" i="1" s="1"/>
  <c r="J25" i="1"/>
  <c r="G84" i="1" s="1"/>
  <c r="J24" i="1"/>
  <c r="G83" i="1" s="1"/>
  <c r="G85" i="1" l="1"/>
  <c r="D39" i="1"/>
  <c r="G39" i="1" s="1"/>
  <c r="L22" i="1"/>
  <c r="L24" i="1"/>
  <c r="D55" i="1"/>
  <c r="G55" i="1" s="1"/>
  <c r="L25" i="1"/>
  <c r="D52" i="1"/>
  <c r="G52" i="1" s="1"/>
  <c r="D51" i="1"/>
  <c r="G51" i="1" s="1"/>
  <c r="D54" i="1"/>
  <c r="G54" i="1" s="1"/>
  <c r="F65" i="1"/>
  <c r="D37" i="1"/>
  <c r="D41" i="1"/>
  <c r="G41" i="1" s="1"/>
  <c r="L21" i="1"/>
  <c r="D38" i="1"/>
  <c r="G38" i="1" s="1"/>
  <c r="J26" i="1"/>
  <c r="J81" i="1" l="1"/>
  <c r="D56" i="1"/>
  <c r="L26" i="1"/>
  <c r="H64" i="1"/>
  <c r="I64" i="1" s="1"/>
  <c r="J64" i="1" s="1"/>
  <c r="L64" i="1" s="1"/>
  <c r="H65" i="1"/>
  <c r="I65" i="1" s="1"/>
  <c r="J65" i="1" s="1"/>
  <c r="L65" i="1" s="1"/>
  <c r="H66" i="1"/>
  <c r="I66" i="1" s="1"/>
  <c r="J66" i="1" s="1"/>
  <c r="L66" i="1" s="1"/>
  <c r="H63" i="1"/>
  <c r="I63" i="1" s="1"/>
  <c r="J63" i="1" s="1"/>
  <c r="L63" i="1" s="1"/>
  <c r="G56" i="1"/>
  <c r="D42" i="1"/>
  <c r="G37" i="1"/>
  <c r="G42" i="1" s="1"/>
  <c r="J82" i="1" l="1"/>
  <c r="L79" i="1" s="1"/>
  <c r="L80" i="1" s="1"/>
  <c r="L81" i="1" s="1"/>
  <c r="N81" i="1" s="1"/>
  <c r="J67" i="1"/>
  <c r="K62" i="1"/>
  <c r="D80" i="1" s="1"/>
  <c r="K66" i="1"/>
  <c r="D84" i="1" s="1"/>
  <c r="M66" i="1"/>
  <c r="M64" i="1"/>
  <c r="K64" i="1"/>
  <c r="D82" i="1" s="1"/>
  <c r="K63" i="1"/>
  <c r="D81" i="1" s="1"/>
  <c r="M63" i="1"/>
  <c r="K65" i="1"/>
  <c r="D83" i="1" s="1"/>
  <c r="M65" i="1"/>
  <c r="K67" i="1" l="1"/>
  <c r="D85" i="1" s="1"/>
  <c r="L67" i="1"/>
  <c r="L85" i="1" s="1"/>
  <c r="M62" i="1"/>
  <c r="M67" i="1" s="1"/>
</calcChain>
</file>

<file path=xl/sharedStrings.xml><?xml version="1.0" encoding="utf-8"?>
<sst xmlns="http://schemas.openxmlformats.org/spreadsheetml/2006/main" count="118" uniqueCount="50">
  <si>
    <t>LK to top</t>
  </si>
  <si>
    <t>HK to top</t>
  </si>
  <si>
    <t>T / K =</t>
  </si>
  <si>
    <t>P / kPa =</t>
  </si>
  <si>
    <t>q=</t>
  </si>
  <si>
    <t>Theta =</t>
  </si>
  <si>
    <t>Carbon</t>
  </si>
  <si>
    <t>F</t>
  </si>
  <si>
    <t>xf</t>
  </si>
  <si>
    <t>K</t>
  </si>
  <si>
    <t>Bubble point</t>
  </si>
  <si>
    <t>Dew point</t>
  </si>
  <si>
    <t>alpha bubble</t>
  </si>
  <si>
    <t>axf/(a-q)</t>
  </si>
  <si>
    <t>D</t>
  </si>
  <si>
    <t>xd</t>
  </si>
  <si>
    <t>B</t>
  </si>
  <si>
    <t>xb</t>
  </si>
  <si>
    <t>log(d/b)</t>
  </si>
  <si>
    <t>log(a)</t>
  </si>
  <si>
    <t>d/b</t>
  </si>
  <si>
    <t>axd/(a-q)</t>
  </si>
  <si>
    <t>-</t>
  </si>
  <si>
    <t>LK</t>
  </si>
  <si>
    <t>HK</t>
  </si>
  <si>
    <t>Nmin =</t>
  </si>
  <si>
    <t>A=</t>
  </si>
  <si>
    <t>Rmin =</t>
  </si>
  <si>
    <t>R =</t>
  </si>
  <si>
    <t>P =</t>
  </si>
  <si>
    <t>Y =</t>
  </si>
  <si>
    <t>N =</t>
  </si>
  <si>
    <t>log(Nr/Ns) =</t>
  </si>
  <si>
    <t>Nr =</t>
  </si>
  <si>
    <t>Ns =</t>
  </si>
  <si>
    <t>solve to 1</t>
  </si>
  <si>
    <t>Totals</t>
  </si>
  <si>
    <t>psat</t>
  </si>
  <si>
    <t>Calculate the feed condition:</t>
  </si>
  <si>
    <t>Calculate the top and bottom product composition (first guess based on feed alpha):</t>
  </si>
  <si>
    <t>Calculate the top product condition (bubble point as total condenser):</t>
  </si>
  <si>
    <t>Calculate the bottom product condition (dew point as partial reboiler):</t>
  </si>
  <si>
    <t>alpha top</t>
  </si>
  <si>
    <t>alpha bottom</t>
  </si>
  <si>
    <t>Calculate the top and bottom product composition (second guess based on average alpha):</t>
  </si>
  <si>
    <t>average alpha</t>
  </si>
  <si>
    <t>The iteration could be repeated, but there is little difference between the first and second.</t>
  </si>
  <si>
    <t>Now we calculate the minimum reflux ratio:</t>
  </si>
  <si>
    <t>alpha</t>
  </si>
  <si>
    <t>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</si>
</sst>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0"/>
      <name val="Arial"/>
      <family val="2"/>
    </font>
    <font>
      <sz val="10"/>
      <color rgb="FF2222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23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right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64" fontId="0" fillId="2" borderId="3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164" fontId="0" fillId="2" borderId="2" xfId="0" applyNumberForma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164" fontId="0" fillId="3" borderId="3" xfId="0" applyNumberFormat="1" applyFill="1" applyBorder="1" applyAlignment="1">
      <alignment horizontal="center" vertical="center"/>
    </xf>
    <xf numFmtId="164" fontId="0" fillId="4" borderId="3" xfId="0" applyNumberForma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164" fontId="0" fillId="3" borderId="2" xfId="0" applyNumberFormat="1" applyFill="1" applyBorder="1" applyAlignment="1">
      <alignment horizontal="center" vertical="center"/>
    </xf>
    <xf numFmtId="164" fontId="0" fillId="4" borderId="2" xfId="0" applyNumberFormat="1" applyFill="1" applyBorder="1" applyAlignment="1">
      <alignment horizontal="center" vertical="center"/>
    </xf>
    <xf numFmtId="164" fontId="0" fillId="2" borderId="0" xfId="0" applyNumberFormat="1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3" xfId="0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164" fontId="0" fillId="4" borderId="3" xfId="0" applyNumberFormat="1" applyFill="1" applyBorder="1" applyAlignment="1">
      <alignment horizontal="center" vertical="center"/>
    </xf>
    <xf numFmtId="164" fontId="0" fillId="4" borderId="2" xfId="0" applyNumberFormat="1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7DA647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9"/>
  <sheetViews>
    <sheetView tabSelected="1" zoomScaleSheetLayoutView="10" workbookViewId="0">
      <selection activeCell="M85" sqref="M85"/>
    </sheetView>
  </sheetViews>
  <sheetFormatPr defaultColWidth="11.59765625" defaultRowHeight="12.75" x14ac:dyDescent="0.35"/>
  <cols>
    <col min="1" max="1" width="6.3984375" style="1" customWidth="1"/>
    <col min="2" max="2" width="11.59765625" style="1"/>
    <col min="3" max="3" width="12.3984375" style="1" customWidth="1"/>
    <col min="4" max="9" width="11.59765625" style="1"/>
    <col min="10" max="10" width="14.3984375" style="1" customWidth="1"/>
    <col min="11" max="11" width="13.3984375" style="1" customWidth="1"/>
    <col min="12" max="12" width="11.59765625" style="1"/>
    <col min="13" max="13" width="3.1328125" style="1" customWidth="1"/>
    <col min="14" max="14" width="8.265625" style="1" customWidth="1"/>
    <col min="15" max="16384" width="11.59765625" style="1"/>
  </cols>
  <sheetData>
    <row r="1" spans="1:15" x14ac:dyDescent="0.3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x14ac:dyDescent="0.35">
      <c r="A2" s="5"/>
      <c r="B2" s="5" t="s">
        <v>38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x14ac:dyDescent="0.35">
      <c r="A3" s="5"/>
      <c r="B3" s="5"/>
      <c r="C3" s="5"/>
      <c r="D3" s="5"/>
      <c r="E3" s="6" t="s">
        <v>2</v>
      </c>
      <c r="F3" s="7">
        <v>298</v>
      </c>
      <c r="G3" s="6"/>
      <c r="H3" s="5"/>
      <c r="I3" s="5"/>
      <c r="J3" s="5"/>
      <c r="K3" s="5"/>
      <c r="L3" s="5"/>
      <c r="M3" s="5"/>
      <c r="N3" s="5"/>
      <c r="O3" s="5"/>
    </row>
    <row r="4" spans="1:15" x14ac:dyDescent="0.35">
      <c r="A4" s="5"/>
      <c r="B4" s="5"/>
      <c r="C4" s="5"/>
      <c r="D4" s="5"/>
      <c r="E4" s="6" t="s">
        <v>3</v>
      </c>
      <c r="F4" s="8">
        <v>146.12403245497546</v>
      </c>
      <c r="G4" s="6"/>
      <c r="H4" s="5"/>
      <c r="I4" s="5"/>
      <c r="J4" s="5"/>
      <c r="K4" s="5"/>
      <c r="L4" s="5"/>
      <c r="M4" s="5"/>
      <c r="N4" s="5"/>
      <c r="O4" s="5"/>
    </row>
    <row r="5" spans="1:15" x14ac:dyDescent="0.3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 ht="18.75" customHeight="1" thickBot="1" x14ac:dyDescent="0.4">
      <c r="A6" s="9"/>
      <c r="B6" s="10" t="s">
        <v>6</v>
      </c>
      <c r="C6" s="10" t="s">
        <v>7</v>
      </c>
      <c r="D6" s="10" t="s">
        <v>8</v>
      </c>
      <c r="E6" s="10" t="s">
        <v>37</v>
      </c>
      <c r="F6" s="10" t="s">
        <v>9</v>
      </c>
      <c r="G6" s="10" t="s">
        <v>10</v>
      </c>
      <c r="H6" s="10" t="s">
        <v>12</v>
      </c>
      <c r="I6" s="5"/>
      <c r="J6" s="5"/>
      <c r="K6" s="5"/>
      <c r="L6" s="5"/>
      <c r="M6" s="5"/>
      <c r="N6" s="5"/>
      <c r="O6" s="5"/>
    </row>
    <row r="7" spans="1:15" ht="13.15" thickTop="1" x14ac:dyDescent="0.35">
      <c r="A7" s="9"/>
      <c r="B7" s="11">
        <v>3</v>
      </c>
      <c r="C7" s="11">
        <v>0.05</v>
      </c>
      <c r="D7" s="12">
        <f>C7/$C$12</f>
        <v>0.05</v>
      </c>
      <c r="E7" s="12">
        <f>17838.2*(EXP(-427.248*(1/$F$3-0.001029807)))^B7</f>
        <v>904.9612138656322</v>
      </c>
      <c r="F7" s="12">
        <f>E7/$F$4</f>
        <v>6.1931032059662998</v>
      </c>
      <c r="G7" s="12">
        <f>D7*F7</f>
        <v>0.30965516029831502</v>
      </c>
      <c r="H7" s="12">
        <f>F7/$F$10</f>
        <v>19.711563022466283</v>
      </c>
      <c r="I7" s="5"/>
      <c r="J7" s="5"/>
      <c r="K7" s="5"/>
      <c r="L7" s="5"/>
      <c r="M7" s="5"/>
      <c r="N7" s="5"/>
      <c r="O7" s="5"/>
    </row>
    <row r="8" spans="1:15" x14ac:dyDescent="0.35">
      <c r="A8" s="9"/>
      <c r="B8" s="13">
        <v>4</v>
      </c>
      <c r="C8" s="13">
        <v>0.1</v>
      </c>
      <c r="D8" s="14">
        <f>C8/$C$12</f>
        <v>0.1</v>
      </c>
      <c r="E8" s="14">
        <f t="shared" ref="E8:E11" si="0">17838.2*(EXP(-427.248*(1/$F$3-0.001029807)))^B8</f>
        <v>335.00884869967661</v>
      </c>
      <c r="F8" s="14">
        <f t="shared" ref="F8:F11" si="1">E8/$F$4</f>
        <v>2.2926334776786383</v>
      </c>
      <c r="G8" s="14">
        <f t="shared" ref="G8:G11" si="2">D8*F8</f>
        <v>0.22926334776786383</v>
      </c>
      <c r="H8" s="14">
        <f>F8/$F$10</f>
        <v>7.2970508935071736</v>
      </c>
      <c r="I8" s="5"/>
      <c r="J8" s="5"/>
      <c r="K8" s="5"/>
      <c r="L8" s="5"/>
      <c r="M8" s="5"/>
      <c r="N8" s="5"/>
      <c r="O8" s="5"/>
    </row>
    <row r="9" spans="1:15" x14ac:dyDescent="0.35">
      <c r="A9" s="6" t="s">
        <v>23</v>
      </c>
      <c r="B9" s="13">
        <v>5</v>
      </c>
      <c r="C9" s="13">
        <v>0.4</v>
      </c>
      <c r="D9" s="14">
        <f>C9/$C$12</f>
        <v>0.4</v>
      </c>
      <c r="E9" s="14">
        <f t="shared" si="0"/>
        <v>124.01739100803799</v>
      </c>
      <c r="F9" s="14">
        <f t="shared" si="1"/>
        <v>0.84871317143708658</v>
      </c>
      <c r="G9" s="14">
        <f t="shared" si="2"/>
        <v>0.33948526857483463</v>
      </c>
      <c r="H9" s="14">
        <f>F9/$F$10</f>
        <v>2.7013054054488492</v>
      </c>
      <c r="I9" s="5"/>
      <c r="J9" s="5"/>
      <c r="K9" s="5"/>
      <c r="L9" s="5"/>
      <c r="M9" s="5"/>
      <c r="N9" s="5"/>
      <c r="O9" s="5"/>
    </row>
    <row r="10" spans="1:15" x14ac:dyDescent="0.35">
      <c r="A10" s="6" t="s">
        <v>24</v>
      </c>
      <c r="B10" s="13">
        <v>6</v>
      </c>
      <c r="C10" s="13">
        <v>0.35</v>
      </c>
      <c r="D10" s="14">
        <f>C10/$C$12</f>
        <v>0.35</v>
      </c>
      <c r="E10" s="14">
        <f t="shared" si="0"/>
        <v>45.910170230245122</v>
      </c>
      <c r="F10" s="14">
        <f t="shared" si="1"/>
        <v>0.31418630774777734</v>
      </c>
      <c r="G10" s="14">
        <f t="shared" si="2"/>
        <v>0.10996520771172207</v>
      </c>
      <c r="H10" s="14">
        <f>F10/$F$10</f>
        <v>1</v>
      </c>
      <c r="I10" s="5"/>
      <c r="J10" s="5"/>
      <c r="K10" s="5"/>
      <c r="L10" s="5"/>
      <c r="M10" s="5"/>
      <c r="N10" s="5"/>
      <c r="O10" s="5"/>
    </row>
    <row r="11" spans="1:15" ht="13.15" thickBot="1" x14ac:dyDescent="0.4">
      <c r="A11" s="9"/>
      <c r="B11" s="10">
        <v>7</v>
      </c>
      <c r="C11" s="10">
        <v>0.1</v>
      </c>
      <c r="D11" s="17">
        <f>C11/$C$12</f>
        <v>0.1</v>
      </c>
      <c r="E11" s="17">
        <f t="shared" si="0"/>
        <v>16.995549684104184</v>
      </c>
      <c r="F11" s="17">
        <f t="shared" si="1"/>
        <v>0.11630906565174996</v>
      </c>
      <c r="G11" s="17">
        <f t="shared" si="2"/>
        <v>1.1630906565174997E-2</v>
      </c>
      <c r="H11" s="17">
        <f>F11/$F$10</f>
        <v>0.37019138894213244</v>
      </c>
      <c r="I11" s="5"/>
      <c r="J11" s="5"/>
      <c r="K11" s="5"/>
      <c r="L11" s="5"/>
      <c r="M11" s="5"/>
      <c r="N11" s="5"/>
      <c r="O11" s="5"/>
    </row>
    <row r="12" spans="1:15" ht="13.15" thickTop="1" x14ac:dyDescent="0.35">
      <c r="A12" s="9"/>
      <c r="B12" s="11" t="s">
        <v>36</v>
      </c>
      <c r="C12" s="11">
        <f>SUM(C7:C11)</f>
        <v>1</v>
      </c>
      <c r="D12" s="12">
        <f>SUM(D7:D11)</f>
        <v>1</v>
      </c>
      <c r="E12" s="12"/>
      <c r="F12" s="12"/>
      <c r="G12" s="12">
        <f>SUM(G7:G11)</f>
        <v>0.99999989091791053</v>
      </c>
      <c r="H12" s="12"/>
      <c r="I12" s="5"/>
      <c r="J12" s="5"/>
      <c r="K12" s="5"/>
      <c r="L12" s="5"/>
      <c r="M12" s="5"/>
      <c r="N12" s="5"/>
      <c r="O12" s="5"/>
    </row>
    <row r="13" spans="1:15" x14ac:dyDescent="0.35">
      <c r="A13" s="9"/>
      <c r="B13" s="9"/>
      <c r="C13" s="9"/>
      <c r="D13" s="9"/>
      <c r="E13" s="9"/>
      <c r="F13" s="9"/>
      <c r="G13" s="9" t="s">
        <v>35</v>
      </c>
      <c r="H13" s="9"/>
      <c r="I13" s="5"/>
      <c r="J13" s="5"/>
      <c r="K13" s="5"/>
      <c r="L13" s="5"/>
      <c r="M13" s="5"/>
      <c r="N13" s="5"/>
      <c r="O13" s="5"/>
    </row>
    <row r="14" spans="1:15" ht="8.25" customHeight="1" x14ac:dyDescent="0.35">
      <c r="A14" s="5"/>
      <c r="B14" s="5"/>
      <c r="C14" s="5"/>
      <c r="D14" s="5"/>
      <c r="E14" s="5"/>
      <c r="F14" s="5"/>
      <c r="G14" s="5"/>
      <c r="H14" s="9"/>
      <c r="I14" s="5"/>
      <c r="J14" s="5"/>
      <c r="K14" s="5"/>
      <c r="L14" s="5"/>
      <c r="M14" s="5"/>
      <c r="N14" s="5"/>
      <c r="O14" s="5"/>
    </row>
    <row r="15" spans="1:15" x14ac:dyDescent="0.35">
      <c r="A15" s="5"/>
      <c r="B15" s="16" t="s">
        <v>39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5" ht="7.5" customHeight="1" x14ac:dyDescent="0.35">
      <c r="A16" s="5"/>
      <c r="B16" s="16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15" x14ac:dyDescent="0.35">
      <c r="A17" s="5"/>
      <c r="B17" s="16"/>
      <c r="C17" s="5" t="s">
        <v>0</v>
      </c>
      <c r="D17" s="7">
        <v>0.95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1:15" x14ac:dyDescent="0.35">
      <c r="A18" s="5"/>
      <c r="B18" s="16"/>
      <c r="C18" s="5" t="s">
        <v>1</v>
      </c>
      <c r="D18" s="7">
        <v>0.03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1:15" x14ac:dyDescent="0.35">
      <c r="A19" s="5"/>
      <c r="B19" s="5"/>
      <c r="C19" s="5"/>
      <c r="D19" s="5"/>
      <c r="E19" s="5"/>
      <c r="F19" s="5"/>
      <c r="G19" s="5"/>
      <c r="H19" s="5"/>
      <c r="I19" s="31"/>
      <c r="J19" s="31"/>
      <c r="K19" s="31"/>
      <c r="L19" s="31"/>
      <c r="M19" s="5"/>
      <c r="N19" s="5"/>
      <c r="O19" s="5"/>
    </row>
    <row r="20" spans="1:15" ht="21.75" customHeight="1" thickBot="1" x14ac:dyDescent="0.4">
      <c r="A20" s="9"/>
      <c r="B20" s="10" t="s">
        <v>6</v>
      </c>
      <c r="C20" s="22" t="s">
        <v>14</v>
      </c>
      <c r="D20" s="22" t="s">
        <v>16</v>
      </c>
      <c r="E20" s="10" t="s">
        <v>18</v>
      </c>
      <c r="F20" s="10" t="s">
        <v>19</v>
      </c>
      <c r="G20" s="10" t="s">
        <v>18</v>
      </c>
      <c r="H20" s="10" t="s">
        <v>20</v>
      </c>
      <c r="I20" s="23" t="s">
        <v>14</v>
      </c>
      <c r="J20" s="23" t="s">
        <v>15</v>
      </c>
      <c r="K20" s="23" t="s">
        <v>16</v>
      </c>
      <c r="L20" s="23" t="s">
        <v>17</v>
      </c>
      <c r="M20" s="5"/>
      <c r="N20" s="5"/>
      <c r="O20" s="5"/>
    </row>
    <row r="21" spans="1:15" ht="13.15" thickTop="1" x14ac:dyDescent="0.35">
      <c r="A21" s="9"/>
      <c r="B21" s="11">
        <v>3</v>
      </c>
      <c r="C21" s="20" t="s">
        <v>22</v>
      </c>
      <c r="D21" s="20" t="s">
        <v>22</v>
      </c>
      <c r="E21" s="11" t="s">
        <v>22</v>
      </c>
      <c r="F21" s="11">
        <f>LOG(H7)</f>
        <v>1.2947210628952925</v>
      </c>
      <c r="G21" s="11">
        <f>$G$28+$D$28*F21</f>
        <v>6.8555617619516518</v>
      </c>
      <c r="H21" s="11">
        <f>10^G21</f>
        <v>7170703.4444444608</v>
      </c>
      <c r="I21" s="21">
        <f>C7/(1+1/H21)</f>
        <v>4.9999993027184372E-2</v>
      </c>
      <c r="J21" s="21">
        <f>I21/$I$26</f>
        <v>9.2507530891861742E-2</v>
      </c>
      <c r="K21" s="21">
        <f>C7-I21</f>
        <v>6.9728156304460498E-9</v>
      </c>
      <c r="L21" s="21">
        <f>K21/$K$26</f>
        <v>1.5174672299068957E-8</v>
      </c>
      <c r="M21" s="5"/>
      <c r="N21" s="5"/>
      <c r="O21" s="5"/>
    </row>
    <row r="22" spans="1:15" x14ac:dyDescent="0.35">
      <c r="A22" s="9"/>
      <c r="B22" s="13">
        <v>4</v>
      </c>
      <c r="C22" s="18" t="s">
        <v>22</v>
      </c>
      <c r="D22" s="18" t="s">
        <v>22</v>
      </c>
      <c r="E22" s="13" t="s">
        <v>22</v>
      </c>
      <c r="F22" s="13">
        <f>LOG(H8)</f>
        <v>0.86314737526352836</v>
      </c>
      <c r="G22" s="13">
        <f>$G$28+$D$28*F22</f>
        <v>4.0671576814522403</v>
      </c>
      <c r="H22" s="13">
        <f t="shared" ref="H22:H25" si="3">10^G22</f>
        <v>11672.333333333336</v>
      </c>
      <c r="I22" s="19">
        <f>C8/(1+1/H22)</f>
        <v>9.9991433466590521E-2</v>
      </c>
      <c r="J22" s="19">
        <f>I22/$I$26</f>
        <v>0.18499923820595479</v>
      </c>
      <c r="K22" s="19">
        <f>C8-I22</f>
        <v>8.5665334094847667E-6</v>
      </c>
      <c r="L22" s="19">
        <f>K22/$K$26</f>
        <v>1.8643019422505729E-5</v>
      </c>
      <c r="M22" s="5"/>
      <c r="N22" s="5"/>
      <c r="O22" s="5"/>
    </row>
    <row r="23" spans="1:15" x14ac:dyDescent="0.35">
      <c r="A23" s="6" t="s">
        <v>23</v>
      </c>
      <c r="B23" s="13">
        <v>5</v>
      </c>
      <c r="C23" s="18">
        <f>C9*D17</f>
        <v>0.38</v>
      </c>
      <c r="D23" s="18">
        <f>C9-C23</f>
        <v>2.0000000000000018E-2</v>
      </c>
      <c r="E23" s="13">
        <f>LOG(C23/D23)</f>
        <v>1.2787536009528286</v>
      </c>
      <c r="F23" s="13">
        <f>LOG(H9)</f>
        <v>0.43157368763176412</v>
      </c>
      <c r="G23" s="13">
        <f>$G$28+$D$28*F23</f>
        <v>1.2787536009528291</v>
      </c>
      <c r="H23" s="13">
        <f t="shared" si="3"/>
        <v>19.000000000000014</v>
      </c>
      <c r="I23" s="19">
        <f>C9/(1+1/H23)</f>
        <v>0.38000000000000006</v>
      </c>
      <c r="J23" s="19">
        <f>I23/$I$26</f>
        <v>0.70305733282393246</v>
      </c>
      <c r="K23" s="19">
        <f>C9-I23</f>
        <v>1.9999999999999962E-2</v>
      </c>
      <c r="L23" s="19">
        <f>K23/$K$26</f>
        <v>4.3525236011720578E-2</v>
      </c>
      <c r="M23" s="5"/>
      <c r="N23" s="5"/>
      <c r="O23" s="5"/>
    </row>
    <row r="24" spans="1:15" x14ac:dyDescent="0.35">
      <c r="A24" s="6" t="s">
        <v>24</v>
      </c>
      <c r="B24" s="13">
        <v>6</v>
      </c>
      <c r="C24" s="18">
        <f>C10*D18</f>
        <v>1.0499999999999999E-2</v>
      </c>
      <c r="D24" s="18">
        <f>C10-C24</f>
        <v>0.33949999999999997</v>
      </c>
      <c r="E24" s="13">
        <f>LOG(C24/D24)</f>
        <v>-1.5096504795465824</v>
      </c>
      <c r="F24" s="13">
        <f>LOG(H10)</f>
        <v>0</v>
      </c>
      <c r="G24" s="13">
        <f>$G$28+$D$28*F24</f>
        <v>-1.5096504795465824</v>
      </c>
      <c r="H24" s="13">
        <f t="shared" si="3"/>
        <v>3.0927835051546389E-2</v>
      </c>
      <c r="I24" s="19">
        <f>C10/(1+1/H24)</f>
        <v>1.0499999999999999E-2</v>
      </c>
      <c r="J24" s="19">
        <f>I24/$I$26</f>
        <v>1.9426584196450762E-2</v>
      </c>
      <c r="K24" s="19">
        <f>C10-I24</f>
        <v>0.33949999999999997</v>
      </c>
      <c r="L24" s="19">
        <f>K24/$K$26</f>
        <v>0.7388408812989582</v>
      </c>
      <c r="M24" s="5"/>
      <c r="N24" s="5"/>
      <c r="O24" s="5"/>
    </row>
    <row r="25" spans="1:15" ht="13.15" thickBot="1" x14ac:dyDescent="0.4">
      <c r="A25" s="9"/>
      <c r="B25" s="10">
        <v>7</v>
      </c>
      <c r="C25" s="24" t="s">
        <v>22</v>
      </c>
      <c r="D25" s="24" t="s">
        <v>22</v>
      </c>
      <c r="E25" s="10" t="s">
        <v>22</v>
      </c>
      <c r="F25" s="10">
        <f>LOG(H11)</f>
        <v>-0.43157368763176424</v>
      </c>
      <c r="G25" s="10">
        <f>$G$28+$D$28*F25</f>
        <v>-4.2980545600459941</v>
      </c>
      <c r="H25" s="10">
        <f t="shared" si="3"/>
        <v>5.0343735840824249E-5</v>
      </c>
      <c r="I25" s="25">
        <f>C11/(1+1/H25)</f>
        <v>5.0341201476675197E-6</v>
      </c>
      <c r="J25" s="25">
        <f>I25/$I$26</f>
        <v>9.3138818003535447E-6</v>
      </c>
      <c r="K25" s="25">
        <f>C11-I25</f>
        <v>9.9994965879852335E-2</v>
      </c>
      <c r="L25" s="25">
        <f>K25/$K$26</f>
        <v>0.21761522449522638</v>
      </c>
      <c r="M25" s="5"/>
      <c r="N25" s="5"/>
      <c r="O25" s="5"/>
    </row>
    <row r="26" spans="1:15" ht="13.15" thickTop="1" x14ac:dyDescent="0.35">
      <c r="A26" s="9"/>
      <c r="B26" s="11" t="s">
        <v>36</v>
      </c>
      <c r="C26" s="11"/>
      <c r="D26" s="11"/>
      <c r="E26" s="11"/>
      <c r="F26" s="11"/>
      <c r="G26" s="11"/>
      <c r="H26" s="11"/>
      <c r="I26" s="21">
        <f>SUM(I21:I25)</f>
        <v>0.54049646061392254</v>
      </c>
      <c r="J26" s="21">
        <f>SUM(J21:J25)</f>
        <v>1</v>
      </c>
      <c r="K26" s="21">
        <f>SUM(K21:K25)</f>
        <v>0.45950353938607741</v>
      </c>
      <c r="L26" s="21">
        <f>SUM(L21:L25)</f>
        <v>1</v>
      </c>
      <c r="M26" s="5"/>
      <c r="N26" s="5"/>
      <c r="O26" s="5"/>
    </row>
    <row r="27" spans="1:15" x14ac:dyDescent="0.3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</row>
    <row r="28" spans="1:15" x14ac:dyDescent="0.35">
      <c r="A28" s="5"/>
      <c r="B28" s="5"/>
      <c r="C28" s="6" t="s">
        <v>25</v>
      </c>
      <c r="D28" s="5">
        <f>LOG(C23/C24*D24/D23,10)/LOG(H9/H10,10)</f>
        <v>6.461015025732034</v>
      </c>
      <c r="E28" s="5"/>
      <c r="F28" s="6" t="s">
        <v>26</v>
      </c>
      <c r="G28" s="5">
        <f>LOG(C24/D24*H10^(-D28),10)</f>
        <v>-1.5096504795465824</v>
      </c>
      <c r="H28" s="5"/>
      <c r="I28" s="5"/>
      <c r="J28" s="5"/>
      <c r="K28" s="5"/>
      <c r="L28" s="5"/>
      <c r="M28" s="5"/>
      <c r="N28" s="5"/>
      <c r="O28" s="5"/>
    </row>
    <row r="29" spans="1:15" x14ac:dyDescent="0.35">
      <c r="A29" s="5"/>
      <c r="B29" s="5"/>
      <c r="C29" s="5"/>
      <c r="D29" s="5"/>
      <c r="E29" s="5"/>
      <c r="F29" s="5"/>
      <c r="G29" s="5">
        <f>LOG(C23/D23*H9^(-D28),10)</f>
        <v>-1.5096504795465826</v>
      </c>
      <c r="H29" s="5"/>
      <c r="I29" s="5"/>
      <c r="J29" s="5"/>
      <c r="K29" s="5"/>
      <c r="L29" s="5"/>
      <c r="M29" s="5"/>
      <c r="N29" s="5"/>
      <c r="O29" s="5"/>
    </row>
    <row r="30" spans="1:15" ht="6.75" customHeight="1" x14ac:dyDescent="0.3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 x14ac:dyDescent="0.35">
      <c r="A31" s="5"/>
      <c r="B31" s="5" t="s">
        <v>40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1:15" ht="6.75" customHeight="1" x14ac:dyDescent="0.3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1:15" x14ac:dyDescent="0.35">
      <c r="A33" s="5"/>
      <c r="B33" s="5"/>
      <c r="C33" s="5"/>
      <c r="D33" s="5"/>
      <c r="E33" s="6" t="s">
        <v>2</v>
      </c>
      <c r="F33" s="7">
        <v>275.31894399102373</v>
      </c>
      <c r="G33" s="6"/>
      <c r="H33" s="5"/>
      <c r="I33" s="5"/>
      <c r="J33" s="5"/>
      <c r="K33" s="5"/>
      <c r="L33" s="5"/>
      <c r="M33" s="5"/>
      <c r="N33" s="5"/>
      <c r="O33" s="5"/>
    </row>
    <row r="34" spans="1:15" x14ac:dyDescent="0.35">
      <c r="A34" s="5"/>
      <c r="B34" s="5"/>
      <c r="C34" s="5"/>
      <c r="D34" s="5"/>
      <c r="E34" s="6" t="s">
        <v>3</v>
      </c>
      <c r="F34" s="8">
        <f>F4</f>
        <v>146.12403245497546</v>
      </c>
      <c r="G34" s="6"/>
      <c r="H34" s="5"/>
      <c r="I34" s="5"/>
      <c r="J34" s="5"/>
      <c r="K34" s="5"/>
      <c r="L34" s="5"/>
      <c r="M34" s="5"/>
      <c r="N34" s="5"/>
      <c r="O34" s="5"/>
    </row>
    <row r="35" spans="1:15" x14ac:dyDescent="0.3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  <row r="36" spans="1:15" ht="19.5" customHeight="1" thickBot="1" x14ac:dyDescent="0.4">
      <c r="A36" s="5"/>
      <c r="B36" s="10" t="s">
        <v>6</v>
      </c>
      <c r="C36" s="10" t="s">
        <v>14</v>
      </c>
      <c r="D36" s="10" t="s">
        <v>8</v>
      </c>
      <c r="E36" s="10" t="s">
        <v>37</v>
      </c>
      <c r="F36" s="10" t="s">
        <v>9</v>
      </c>
      <c r="G36" s="10" t="s">
        <v>10</v>
      </c>
      <c r="H36" s="10" t="s">
        <v>42</v>
      </c>
      <c r="I36" s="5"/>
      <c r="J36" s="5"/>
      <c r="K36" s="5"/>
      <c r="L36" s="5"/>
      <c r="M36" s="5"/>
      <c r="N36" s="5"/>
      <c r="O36" s="5"/>
    </row>
    <row r="37" spans="1:15" ht="13.15" thickTop="1" x14ac:dyDescent="0.35">
      <c r="A37" s="5"/>
      <c r="B37" s="11">
        <v>3</v>
      </c>
      <c r="C37" s="12">
        <f>I21</f>
        <v>4.9999993027184372E-2</v>
      </c>
      <c r="D37" s="12">
        <f>C37/$C$42</f>
        <v>9.2507530891861742E-2</v>
      </c>
      <c r="E37" s="12">
        <f>17838.2*(EXP(-427.248*(1/$F$33-0.001029807)))^B37</f>
        <v>634.95783340201422</v>
      </c>
      <c r="F37" s="12">
        <f>E37/$F$34</f>
        <v>4.3453347319693005</v>
      </c>
      <c r="G37" s="12">
        <f>D37*F37</f>
        <v>0.40197618695312981</v>
      </c>
      <c r="H37" s="12">
        <f>F37/$F$40</f>
        <v>28.093519067912656</v>
      </c>
      <c r="I37" s="5"/>
      <c r="J37" s="5"/>
      <c r="K37" s="5"/>
      <c r="L37" s="5"/>
      <c r="M37" s="5"/>
      <c r="N37" s="5"/>
      <c r="O37" s="5"/>
    </row>
    <row r="38" spans="1:15" x14ac:dyDescent="0.35">
      <c r="A38" s="5"/>
      <c r="B38" s="13">
        <v>4</v>
      </c>
      <c r="C38" s="12">
        <f>I22</f>
        <v>9.9991433466590521E-2</v>
      </c>
      <c r="D38" s="12">
        <f t="shared" ref="D38:D41" si="4">C38/$C$42</f>
        <v>0.18499923820595479</v>
      </c>
      <c r="E38" s="12">
        <f t="shared" ref="E38:E41" si="5">17838.2*(EXP(-427.248*(1/$F$33-0.001029807)))^B38</f>
        <v>208.87005010108513</v>
      </c>
      <c r="F38" s="12">
        <f t="shared" ref="F38:F41" si="6">E38/$F$34</f>
        <v>1.4294024507258469</v>
      </c>
      <c r="G38" s="14">
        <f t="shared" ref="G38:G41" si="7">D38*F38</f>
        <v>0.26443836447400654</v>
      </c>
      <c r="H38" s="12">
        <f t="shared" ref="H38:H41" si="8">F38/$F$40</f>
        <v>9.2413927768893842</v>
      </c>
      <c r="I38" s="5"/>
      <c r="J38" s="5"/>
      <c r="K38" s="5"/>
      <c r="L38" s="5"/>
      <c r="M38" s="5"/>
      <c r="N38" s="5"/>
      <c r="O38" s="5"/>
    </row>
    <row r="39" spans="1:15" x14ac:dyDescent="0.35">
      <c r="A39" s="6" t="s">
        <v>23</v>
      </c>
      <c r="B39" s="13">
        <v>5</v>
      </c>
      <c r="C39" s="12">
        <f>I23</f>
        <v>0.38000000000000006</v>
      </c>
      <c r="D39" s="12">
        <f t="shared" si="4"/>
        <v>0.70305733282393246</v>
      </c>
      <c r="E39" s="12">
        <f t="shared" si="5"/>
        <v>68.708023642269481</v>
      </c>
      <c r="F39" s="12">
        <f t="shared" si="6"/>
        <v>0.47020344626364025</v>
      </c>
      <c r="G39" s="14">
        <f t="shared" si="7"/>
        <v>0.33057998081473616</v>
      </c>
      <c r="H39" s="12">
        <f t="shared" si="8"/>
        <v>3.0399659170604827</v>
      </c>
      <c r="I39" s="5"/>
      <c r="J39" s="5"/>
      <c r="K39" s="5"/>
      <c r="L39" s="5"/>
      <c r="M39" s="5"/>
      <c r="N39" s="5"/>
      <c r="O39" s="5"/>
    </row>
    <row r="40" spans="1:15" x14ac:dyDescent="0.35">
      <c r="A40" s="6" t="s">
        <v>24</v>
      </c>
      <c r="B40" s="13">
        <v>6</v>
      </c>
      <c r="C40" s="12">
        <f>I24</f>
        <v>1.0499999999999999E-2</v>
      </c>
      <c r="D40" s="12">
        <f t="shared" si="4"/>
        <v>1.9426584196450762E-2</v>
      </c>
      <c r="E40" s="12">
        <f t="shared" si="5"/>
        <v>22.601576963963861</v>
      </c>
      <c r="F40" s="12">
        <f t="shared" si="6"/>
        <v>0.15467392039655067</v>
      </c>
      <c r="G40" s="14">
        <f t="shared" si="7"/>
        <v>3.0047859375787146E-3</v>
      </c>
      <c r="H40" s="12">
        <f t="shared" si="8"/>
        <v>1</v>
      </c>
      <c r="I40" s="5"/>
      <c r="J40" s="5"/>
      <c r="K40" s="5"/>
      <c r="L40" s="5"/>
      <c r="M40" s="5"/>
      <c r="N40" s="5"/>
      <c r="O40" s="5"/>
    </row>
    <row r="41" spans="1:15" ht="13.15" thickBot="1" x14ac:dyDescent="0.4">
      <c r="A41" s="5"/>
      <c r="B41" s="10">
        <v>7</v>
      </c>
      <c r="C41" s="17">
        <f>I25</f>
        <v>5.0341201476675197E-6</v>
      </c>
      <c r="D41" s="17">
        <f t="shared" si="4"/>
        <v>9.3138818003535447E-6</v>
      </c>
      <c r="E41" s="17">
        <f t="shared" si="5"/>
        <v>7.4348126198133881</v>
      </c>
      <c r="F41" s="17">
        <f t="shared" si="6"/>
        <v>5.0880149520266239E-2</v>
      </c>
      <c r="G41" s="17">
        <f t="shared" si="7"/>
        <v>4.7389169861607489E-7</v>
      </c>
      <c r="H41" s="17">
        <f t="shared" si="8"/>
        <v>0.32895105645360562</v>
      </c>
      <c r="I41" s="5"/>
      <c r="J41" s="5"/>
      <c r="K41" s="5"/>
      <c r="L41" s="5"/>
      <c r="M41" s="5"/>
      <c r="N41" s="5"/>
      <c r="O41" s="5"/>
    </row>
    <row r="42" spans="1:15" ht="13.15" thickTop="1" x14ac:dyDescent="0.35">
      <c r="A42" s="5"/>
      <c r="B42" s="11" t="s">
        <v>36</v>
      </c>
      <c r="C42" s="11">
        <f>SUM(C37:C41)</f>
        <v>0.54049646061392254</v>
      </c>
      <c r="D42" s="12">
        <f>SUM(D37:D41)</f>
        <v>1</v>
      </c>
      <c r="E42" s="12"/>
      <c r="F42" s="12"/>
      <c r="G42" s="12">
        <f>SUM(G37:G41)</f>
        <v>0.99999979207114986</v>
      </c>
      <c r="H42" s="12"/>
      <c r="I42" s="5"/>
      <c r="J42" s="5"/>
      <c r="K42" s="5"/>
      <c r="L42" s="5"/>
      <c r="M42" s="5"/>
      <c r="N42" s="5"/>
      <c r="O42" s="5"/>
    </row>
    <row r="43" spans="1:15" x14ac:dyDescent="0.35">
      <c r="A43" s="5"/>
      <c r="B43" s="5"/>
      <c r="C43" s="5"/>
      <c r="D43" s="5"/>
      <c r="E43" s="5"/>
      <c r="F43" s="5"/>
      <c r="G43" s="5" t="s">
        <v>35</v>
      </c>
      <c r="H43" s="5"/>
      <c r="I43" s="5"/>
      <c r="J43" s="5"/>
      <c r="K43" s="5"/>
      <c r="L43" s="5"/>
      <c r="M43" s="5"/>
      <c r="N43" s="5"/>
      <c r="O43" s="5"/>
    </row>
    <row r="44" spans="1:15" ht="6" customHeight="1" x14ac:dyDescent="0.3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</row>
    <row r="45" spans="1:15" x14ac:dyDescent="0.35">
      <c r="A45" s="5"/>
      <c r="B45" s="5" t="s">
        <v>41</v>
      </c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</row>
    <row r="46" spans="1:15" ht="8.25" customHeight="1" x14ac:dyDescent="0.3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  <row r="47" spans="1:15" x14ac:dyDescent="0.35">
      <c r="A47" s="5"/>
      <c r="B47" s="5"/>
      <c r="C47" s="5"/>
      <c r="D47" s="5"/>
      <c r="E47" s="6" t="s">
        <v>2</v>
      </c>
      <c r="F47" s="7">
        <v>354.09347051481978</v>
      </c>
      <c r="G47" s="6"/>
      <c r="H47" s="5"/>
      <c r="I47" s="5"/>
      <c r="J47" s="5"/>
      <c r="K47" s="5"/>
      <c r="L47" s="5"/>
      <c r="M47" s="5"/>
      <c r="N47" s="5"/>
      <c r="O47" s="5"/>
    </row>
    <row r="48" spans="1:15" x14ac:dyDescent="0.35">
      <c r="A48" s="5"/>
      <c r="B48" s="5"/>
      <c r="C48" s="5"/>
      <c r="D48" s="5"/>
      <c r="E48" s="6" t="s">
        <v>3</v>
      </c>
      <c r="F48" s="8">
        <f>F34</f>
        <v>146.12403245497546</v>
      </c>
      <c r="G48" s="6"/>
      <c r="H48" s="5"/>
      <c r="I48" s="5"/>
      <c r="J48" s="5"/>
      <c r="K48" s="5"/>
      <c r="L48" s="5"/>
      <c r="M48" s="5"/>
      <c r="N48" s="5"/>
      <c r="O48" s="5"/>
    </row>
    <row r="49" spans="1:15" x14ac:dyDescent="0.3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</row>
    <row r="50" spans="1:15" ht="19.5" customHeight="1" thickBot="1" x14ac:dyDescent="0.4">
      <c r="A50" s="5"/>
      <c r="B50" s="10" t="s">
        <v>6</v>
      </c>
      <c r="C50" s="10" t="s">
        <v>16</v>
      </c>
      <c r="D50" s="10" t="s">
        <v>8</v>
      </c>
      <c r="E50" s="10" t="s">
        <v>37</v>
      </c>
      <c r="F50" s="10" t="s">
        <v>9</v>
      </c>
      <c r="G50" s="10" t="s">
        <v>11</v>
      </c>
      <c r="H50" s="10" t="s">
        <v>43</v>
      </c>
      <c r="I50" s="5"/>
      <c r="J50" s="5"/>
      <c r="K50" s="5"/>
      <c r="L50" s="5"/>
      <c r="M50" s="5"/>
      <c r="N50" s="5"/>
      <c r="O50" s="5"/>
    </row>
    <row r="51" spans="1:15" ht="13.15" thickTop="1" x14ac:dyDescent="0.35">
      <c r="A51" s="5"/>
      <c r="B51" s="11">
        <v>3</v>
      </c>
      <c r="C51" s="12">
        <f>K21</f>
        <v>6.9728156304460498E-9</v>
      </c>
      <c r="D51" s="12">
        <f>C51/$C$56</f>
        <v>1.5174672299068957E-8</v>
      </c>
      <c r="E51" s="12">
        <f>17838.2*(EXP(-427.248*(1/$F$47-0.001029807)))^B51</f>
        <v>1788.7216073699731</v>
      </c>
      <c r="F51" s="12">
        <f>E51/$F$48</f>
        <v>12.241118571109265</v>
      </c>
      <c r="G51" s="12">
        <f>D51/F51</f>
        <v>1.2396475216638524E-9</v>
      </c>
      <c r="H51" s="12">
        <f>F51/$F$54</f>
        <v>9.9725971478749038</v>
      </c>
      <c r="I51" s="5"/>
      <c r="J51" s="5"/>
      <c r="K51" s="5"/>
      <c r="L51" s="5"/>
      <c r="M51" s="5"/>
      <c r="N51" s="5"/>
      <c r="O51" s="5"/>
    </row>
    <row r="52" spans="1:15" x14ac:dyDescent="0.35">
      <c r="A52" s="5"/>
      <c r="B52" s="13">
        <v>4</v>
      </c>
      <c r="C52" s="12">
        <f>K22</f>
        <v>8.5665334094847667E-6</v>
      </c>
      <c r="D52" s="12">
        <f t="shared" ref="D52:D55" si="9">C52/$C$56</f>
        <v>1.8643019422505729E-5</v>
      </c>
      <c r="E52" s="12">
        <f t="shared" ref="E52:E55" si="10">17838.2*(EXP(-427.248*(1/$F$47-0.001029807)))^B52</f>
        <v>831.01078719076588</v>
      </c>
      <c r="F52" s="12">
        <f t="shared" ref="F52:F55" si="11">E52/$F$48</f>
        <v>5.6870233679516167</v>
      </c>
      <c r="G52" s="12">
        <f t="shared" ref="G52:G55" si="12">D52/F52</f>
        <v>3.2781682466025585E-6</v>
      </c>
      <c r="H52" s="12">
        <f t="shared" ref="H52:H55" si="13">F52/$F$54</f>
        <v>4.6331054380100563</v>
      </c>
      <c r="I52" s="5"/>
      <c r="J52" s="5"/>
      <c r="K52" s="5"/>
      <c r="L52" s="5"/>
      <c r="M52" s="5"/>
      <c r="N52" s="5"/>
      <c r="O52" s="5"/>
    </row>
    <row r="53" spans="1:15" x14ac:dyDescent="0.35">
      <c r="A53" s="6" t="s">
        <v>23</v>
      </c>
      <c r="B53" s="13">
        <v>5</v>
      </c>
      <c r="C53" s="12">
        <f>K23</f>
        <v>1.9999999999999962E-2</v>
      </c>
      <c r="D53" s="12">
        <f t="shared" si="9"/>
        <v>4.3525236011720578E-2</v>
      </c>
      <c r="E53" s="12">
        <f t="shared" si="10"/>
        <v>386.07401262558767</v>
      </c>
      <c r="F53" s="12">
        <f t="shared" si="11"/>
        <v>2.6420979912701692</v>
      </c>
      <c r="G53" s="12">
        <f t="shared" si="12"/>
        <v>1.6473740245643253E-2</v>
      </c>
      <c r="H53" s="12">
        <f t="shared" si="13"/>
        <v>2.1524649678937999</v>
      </c>
      <c r="I53" s="5"/>
      <c r="J53" s="5"/>
      <c r="K53" s="5"/>
      <c r="L53" s="5"/>
      <c r="M53" s="5"/>
      <c r="N53" s="5"/>
      <c r="O53" s="5"/>
    </row>
    <row r="54" spans="1:15" x14ac:dyDescent="0.35">
      <c r="A54" s="6" t="s">
        <v>24</v>
      </c>
      <c r="B54" s="13">
        <v>6</v>
      </c>
      <c r="C54" s="12">
        <f>K24</f>
        <v>0.33949999999999997</v>
      </c>
      <c r="D54" s="12">
        <f t="shared" si="9"/>
        <v>0.7388408812989582</v>
      </c>
      <c r="E54" s="12">
        <f t="shared" si="10"/>
        <v>179.36366834502468</v>
      </c>
      <c r="F54" s="12">
        <f t="shared" si="11"/>
        <v>1.2274754900450149</v>
      </c>
      <c r="G54" s="12">
        <f t="shared" si="12"/>
        <v>0.60191905035257598</v>
      </c>
      <c r="H54" s="12">
        <f t="shared" si="13"/>
        <v>1</v>
      </c>
      <c r="I54" s="5"/>
      <c r="J54" s="5"/>
      <c r="K54" s="5"/>
      <c r="L54" s="5"/>
      <c r="M54" s="5"/>
      <c r="N54" s="5"/>
      <c r="O54" s="5"/>
    </row>
    <row r="55" spans="1:15" ht="13.15" thickBot="1" x14ac:dyDescent="0.4">
      <c r="A55" s="5"/>
      <c r="B55" s="10">
        <v>7</v>
      </c>
      <c r="C55" s="17">
        <f>K25</f>
        <v>9.9994965879852335E-2</v>
      </c>
      <c r="D55" s="17">
        <f t="shared" si="9"/>
        <v>0.21761522449522638</v>
      </c>
      <c r="E55" s="17">
        <f t="shared" si="10"/>
        <v>83.329425110473778</v>
      </c>
      <c r="F55" s="17">
        <f t="shared" si="11"/>
        <v>0.57026502561205805</v>
      </c>
      <c r="G55" s="17">
        <f t="shared" si="12"/>
        <v>0.38160366622810649</v>
      </c>
      <c r="H55" s="17">
        <f t="shared" si="13"/>
        <v>0.46458363546725068</v>
      </c>
      <c r="I55" s="5"/>
      <c r="J55" s="5"/>
      <c r="K55" s="5"/>
      <c r="L55" s="5"/>
      <c r="M55" s="5"/>
      <c r="N55" s="5"/>
      <c r="O55" s="5"/>
    </row>
    <row r="56" spans="1:15" ht="13.15" thickTop="1" x14ac:dyDescent="0.35">
      <c r="A56" s="5"/>
      <c r="B56" s="11" t="s">
        <v>36</v>
      </c>
      <c r="C56" s="11">
        <f>SUM(C51:C55)</f>
        <v>0.45950353938607741</v>
      </c>
      <c r="D56" s="12">
        <f>SUM(D51:D55)</f>
        <v>1</v>
      </c>
      <c r="E56" s="12"/>
      <c r="F56" s="12"/>
      <c r="G56" s="12">
        <f>SUM(G51:G55)</f>
        <v>0.99999973623421989</v>
      </c>
      <c r="H56" s="12"/>
      <c r="I56" s="5"/>
      <c r="J56" s="5"/>
      <c r="K56" s="5"/>
      <c r="L56" s="5"/>
      <c r="M56" s="5"/>
      <c r="N56" s="5"/>
      <c r="O56" s="5"/>
    </row>
    <row r="57" spans="1:15" x14ac:dyDescent="0.35">
      <c r="A57" s="5"/>
      <c r="B57" s="5"/>
      <c r="C57" s="5"/>
      <c r="D57" s="5"/>
      <c r="E57" s="5"/>
      <c r="F57" s="5"/>
      <c r="G57" s="5" t="s">
        <v>35</v>
      </c>
      <c r="H57" s="5"/>
      <c r="I57" s="5"/>
      <c r="J57" s="5"/>
      <c r="K57" s="5"/>
      <c r="L57" s="5"/>
      <c r="M57" s="5"/>
      <c r="N57" s="5"/>
      <c r="O57" s="5"/>
    </row>
    <row r="58" spans="1:15" ht="7.5" customHeight="1" x14ac:dyDescent="0.3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</row>
    <row r="59" spans="1:15" x14ac:dyDescent="0.35">
      <c r="A59" s="5"/>
      <c r="B59" s="16" t="s">
        <v>44</v>
      </c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</row>
    <row r="60" spans="1:15" x14ac:dyDescent="0.35">
      <c r="A60" s="5"/>
      <c r="B60" s="16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</row>
    <row r="61" spans="1:15" ht="20.25" customHeight="1" thickBot="1" x14ac:dyDescent="0.4">
      <c r="A61" s="9"/>
      <c r="B61" s="10" t="s">
        <v>6</v>
      </c>
      <c r="C61" s="10" t="s">
        <v>45</v>
      </c>
      <c r="D61" s="22" t="s">
        <v>14</v>
      </c>
      <c r="E61" s="22" t="s">
        <v>16</v>
      </c>
      <c r="F61" s="10" t="s">
        <v>18</v>
      </c>
      <c r="G61" s="10" t="s">
        <v>19</v>
      </c>
      <c r="H61" s="10" t="s">
        <v>18</v>
      </c>
      <c r="I61" s="10" t="s">
        <v>20</v>
      </c>
      <c r="J61" s="23" t="s">
        <v>14</v>
      </c>
      <c r="K61" s="23" t="s">
        <v>15</v>
      </c>
      <c r="L61" s="23" t="s">
        <v>16</v>
      </c>
      <c r="M61" s="32" t="s">
        <v>17</v>
      </c>
      <c r="N61" s="32"/>
      <c r="O61" s="5"/>
    </row>
    <row r="62" spans="1:15" ht="13.15" thickTop="1" x14ac:dyDescent="0.35">
      <c r="A62" s="9"/>
      <c r="B62" s="11">
        <v>3</v>
      </c>
      <c r="C62" s="11">
        <f>(H7*H37*H51)^(1/3)</f>
        <v>17.675776194477312</v>
      </c>
      <c r="D62" s="20" t="s">
        <v>22</v>
      </c>
      <c r="E62" s="20" t="s">
        <v>22</v>
      </c>
      <c r="F62" s="11" t="s">
        <v>22</v>
      </c>
      <c r="G62" s="11">
        <f>LOG(C62)</f>
        <v>1.2473784940150088</v>
      </c>
      <c r="H62" s="11">
        <f>$H$69+$E$69*G62</f>
        <v>6.8555617619516518</v>
      </c>
      <c r="I62" s="11">
        <f>10^H62</f>
        <v>7170703.4444444608</v>
      </c>
      <c r="J62" s="21">
        <f>C7/(1+1/I62)</f>
        <v>4.9999993027184372E-2</v>
      </c>
      <c r="K62" s="21">
        <f>J62/$I$26</f>
        <v>9.2507530891861742E-2</v>
      </c>
      <c r="L62" s="21">
        <f>C7-J62</f>
        <v>6.9728156304460498E-9</v>
      </c>
      <c r="M62" s="33">
        <f>L62/$K$26</f>
        <v>1.5174672299068957E-8</v>
      </c>
      <c r="N62" s="33"/>
      <c r="O62" s="5"/>
    </row>
    <row r="63" spans="1:15" x14ac:dyDescent="0.35">
      <c r="A63" s="9"/>
      <c r="B63" s="13">
        <v>4</v>
      </c>
      <c r="C63" s="11">
        <f>(H8*H38*H52)^(1/3)</f>
        <v>6.7855594947620848</v>
      </c>
      <c r="D63" s="18" t="s">
        <v>22</v>
      </c>
      <c r="E63" s="18" t="s">
        <v>22</v>
      </c>
      <c r="F63" s="13" t="s">
        <v>22</v>
      </c>
      <c r="G63" s="11">
        <f t="shared" ref="G63:G66" si="14">LOG(C63)</f>
        <v>0.83158566267667267</v>
      </c>
      <c r="H63" s="11">
        <f t="shared" ref="H63:H66" si="15">$H$69+$E$69*G63</f>
        <v>4.0671576814522412</v>
      </c>
      <c r="I63" s="13">
        <f t="shared" ref="I63:I66" si="16">10^H63</f>
        <v>11672.333333333378</v>
      </c>
      <c r="J63" s="21">
        <f>C8/(1+1/I63)</f>
        <v>9.9991433466590521E-2</v>
      </c>
      <c r="K63" s="19">
        <f>J63/$I$26</f>
        <v>0.18499923820595479</v>
      </c>
      <c r="L63" s="21">
        <f>C8-J63</f>
        <v>8.5665334094847667E-6</v>
      </c>
      <c r="M63" s="35">
        <f>L63/$K$26</f>
        <v>1.8643019422505729E-5</v>
      </c>
      <c r="N63" s="35"/>
      <c r="O63" s="5"/>
    </row>
    <row r="64" spans="1:15" x14ac:dyDescent="0.35">
      <c r="A64" s="6" t="s">
        <v>23</v>
      </c>
      <c r="B64" s="13">
        <v>5</v>
      </c>
      <c r="C64" s="11">
        <f>(H9*H39*H53)^(1/3)</f>
        <v>2.6049106500534873</v>
      </c>
      <c r="D64" s="18">
        <f>C23</f>
        <v>0.38</v>
      </c>
      <c r="E64" s="18">
        <f>D23</f>
        <v>2.0000000000000018E-2</v>
      </c>
      <c r="F64" s="13">
        <f>LOG(D64/E64)</f>
        <v>1.2787536009528286</v>
      </c>
      <c r="G64" s="11">
        <f t="shared" si="14"/>
        <v>0.41579283133833628</v>
      </c>
      <c r="H64" s="11">
        <f t="shared" si="15"/>
        <v>1.2787536009528291</v>
      </c>
      <c r="I64" s="13">
        <f t="shared" si="16"/>
        <v>19.000000000000014</v>
      </c>
      <c r="J64" s="21">
        <f>C9/(1+1/I64)</f>
        <v>0.38000000000000006</v>
      </c>
      <c r="K64" s="19">
        <f>J64/$I$26</f>
        <v>0.70305733282393246</v>
      </c>
      <c r="L64" s="21">
        <f>C9-J64</f>
        <v>1.9999999999999962E-2</v>
      </c>
      <c r="M64" s="35">
        <f>L64/$K$26</f>
        <v>4.3525236011720578E-2</v>
      </c>
      <c r="N64" s="35"/>
      <c r="O64" s="5"/>
    </row>
    <row r="65" spans="1:15" x14ac:dyDescent="0.35">
      <c r="A65" s="6" t="s">
        <v>24</v>
      </c>
      <c r="B65" s="13">
        <v>6</v>
      </c>
      <c r="C65" s="11">
        <f>(H10*H40*H54)^(1/3)</f>
        <v>1</v>
      </c>
      <c r="D65" s="18">
        <f>C24</f>
        <v>1.0499999999999999E-2</v>
      </c>
      <c r="E65" s="18">
        <f>D24</f>
        <v>0.33949999999999997</v>
      </c>
      <c r="F65" s="13">
        <f>LOG(D65/E65)</f>
        <v>-1.5096504795465824</v>
      </c>
      <c r="G65" s="11">
        <f t="shared" si="14"/>
        <v>0</v>
      </c>
      <c r="H65" s="11">
        <f t="shared" si="15"/>
        <v>-1.5096504795465824</v>
      </c>
      <c r="I65" s="13">
        <f t="shared" si="16"/>
        <v>3.0927835051546389E-2</v>
      </c>
      <c r="J65" s="21">
        <f>C10/(1+1/I65)</f>
        <v>1.0499999999999999E-2</v>
      </c>
      <c r="K65" s="19">
        <f>J65/$I$26</f>
        <v>1.9426584196450762E-2</v>
      </c>
      <c r="L65" s="21">
        <f>C10-J65</f>
        <v>0.33949999999999997</v>
      </c>
      <c r="M65" s="35">
        <f>L65/$K$26</f>
        <v>0.7388408812989582</v>
      </c>
      <c r="N65" s="35"/>
      <c r="O65" s="5"/>
    </row>
    <row r="66" spans="1:15" ht="13.15" thickBot="1" x14ac:dyDescent="0.4">
      <c r="A66" s="9"/>
      <c r="B66" s="10">
        <v>7</v>
      </c>
      <c r="C66" s="10">
        <f>(H11*H41*H55)^(1/3)</f>
        <v>0.38389032651828836</v>
      </c>
      <c r="D66" s="24" t="s">
        <v>22</v>
      </c>
      <c r="E66" s="24" t="s">
        <v>22</v>
      </c>
      <c r="F66" s="10" t="s">
        <v>22</v>
      </c>
      <c r="G66" s="10">
        <f t="shared" si="14"/>
        <v>-0.41579283133833622</v>
      </c>
      <c r="H66" s="10">
        <f t="shared" si="15"/>
        <v>-4.2980545600459932</v>
      </c>
      <c r="I66" s="10">
        <f t="shared" si="16"/>
        <v>5.0343735840824338E-5</v>
      </c>
      <c r="J66" s="25">
        <f>C11/(1+1/I66)</f>
        <v>5.034120147667529E-6</v>
      </c>
      <c r="K66" s="25">
        <f>J66/$I$26</f>
        <v>9.3138818003535616E-6</v>
      </c>
      <c r="L66" s="25">
        <f>C11-J66</f>
        <v>9.9994965879852335E-2</v>
      </c>
      <c r="M66" s="34">
        <f>L66/$K$26</f>
        <v>0.21761522449522638</v>
      </c>
      <c r="N66" s="34"/>
      <c r="O66" s="5"/>
    </row>
    <row r="67" spans="1:15" ht="13.15" thickTop="1" x14ac:dyDescent="0.35">
      <c r="A67" s="9"/>
      <c r="B67" s="11" t="s">
        <v>36</v>
      </c>
      <c r="C67" s="11"/>
      <c r="D67" s="11"/>
      <c r="E67" s="11"/>
      <c r="F67" s="11"/>
      <c r="G67" s="11"/>
      <c r="H67" s="11"/>
      <c r="I67" s="11"/>
      <c r="J67" s="21">
        <f>SUM(J62:J66)</f>
        <v>0.54049646061392254</v>
      </c>
      <c r="K67" s="21">
        <f>SUM(K62:K66)</f>
        <v>1</v>
      </c>
      <c r="L67" s="21">
        <f>SUM(L62:L66)</f>
        <v>0.45950353938607741</v>
      </c>
      <c r="M67" s="33">
        <f>SUM(M62:M66)</f>
        <v>1</v>
      </c>
      <c r="N67" s="33"/>
      <c r="O67" s="5"/>
    </row>
    <row r="68" spans="1:15" x14ac:dyDescent="0.3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</row>
    <row r="69" spans="1:15" x14ac:dyDescent="0.35">
      <c r="A69" s="5"/>
      <c r="B69" s="5"/>
      <c r="C69" s="5"/>
      <c r="D69" s="6" t="s">
        <v>25</v>
      </c>
      <c r="E69" s="5">
        <f>LOG(D64/D65*E65/E64,10)/LOG(C64/C65,10)</f>
        <v>6.7062341395454439</v>
      </c>
      <c r="F69" s="5"/>
      <c r="G69" s="6" t="s">
        <v>26</v>
      </c>
      <c r="H69" s="5">
        <f>LOG(D65/E65*C65^(-E69),10)</f>
        <v>-1.5096504795465824</v>
      </c>
      <c r="I69" s="5"/>
      <c r="J69" s="26"/>
      <c r="K69" s="5"/>
      <c r="L69" s="5"/>
      <c r="M69" s="5"/>
      <c r="N69" s="5"/>
      <c r="O69" s="5"/>
    </row>
    <row r="70" spans="1:15" x14ac:dyDescent="0.35">
      <c r="A70" s="5"/>
      <c r="B70" s="5"/>
      <c r="C70" s="5"/>
      <c r="D70" s="5"/>
      <c r="E70" s="5"/>
      <c r="F70" s="5"/>
      <c r="G70" s="5"/>
      <c r="H70" s="5">
        <f>LOG(D64/E64*C64^(-E69),10)</f>
        <v>-1.5096504795465826</v>
      </c>
      <c r="I70" s="5"/>
      <c r="J70" s="26"/>
      <c r="K70" s="5"/>
      <c r="L70" s="5"/>
      <c r="M70" s="5"/>
      <c r="N70" s="5"/>
      <c r="O70" s="5"/>
    </row>
    <row r="71" spans="1:15" ht="7.5" customHeight="1" x14ac:dyDescent="0.35">
      <c r="A71" s="5"/>
      <c r="B71" s="5"/>
      <c r="C71" s="5"/>
      <c r="D71" s="5"/>
      <c r="E71" s="5"/>
      <c r="F71" s="5"/>
      <c r="G71" s="5"/>
      <c r="H71" s="5"/>
      <c r="I71" s="5"/>
      <c r="J71" s="26"/>
      <c r="K71" s="5"/>
      <c r="L71" s="5"/>
      <c r="M71" s="5"/>
      <c r="N71" s="5"/>
      <c r="O71" s="5"/>
    </row>
    <row r="72" spans="1:15" x14ac:dyDescent="0.35">
      <c r="A72" s="5"/>
      <c r="B72" s="5" t="s">
        <v>46</v>
      </c>
      <c r="C72" s="5"/>
      <c r="E72" s="5"/>
      <c r="F72" s="5"/>
      <c r="G72" s="5"/>
      <c r="H72" s="5"/>
      <c r="I72" s="5"/>
      <c r="J72" s="26"/>
      <c r="K72" s="5"/>
      <c r="L72" s="5"/>
      <c r="M72" s="5"/>
      <c r="N72" s="5"/>
      <c r="O72" s="5"/>
    </row>
    <row r="73" spans="1:15" ht="5.25" customHeight="1" x14ac:dyDescent="0.35">
      <c r="A73" s="5"/>
      <c r="B73" s="5"/>
      <c r="C73" s="5"/>
      <c r="D73" s="5"/>
      <c r="E73" s="5"/>
      <c r="F73" s="5"/>
      <c r="G73" s="5"/>
      <c r="H73" s="5"/>
      <c r="I73" s="5"/>
      <c r="J73" s="26"/>
      <c r="K73" s="5"/>
      <c r="L73" s="5"/>
      <c r="M73" s="5"/>
      <c r="N73" s="5"/>
      <c r="O73" s="5"/>
    </row>
    <row r="74" spans="1:15" x14ac:dyDescent="0.35">
      <c r="A74" s="5"/>
      <c r="B74" s="5" t="s">
        <v>47</v>
      </c>
      <c r="C74" s="5"/>
      <c r="D74" s="5"/>
      <c r="E74" s="5"/>
      <c r="F74" s="5"/>
      <c r="G74" s="5"/>
      <c r="H74" s="5"/>
      <c r="I74" s="5"/>
      <c r="J74" s="26"/>
      <c r="K74" s="5"/>
      <c r="L74" s="5"/>
      <c r="M74" s="5"/>
      <c r="N74" s="5"/>
      <c r="O74" s="5"/>
    </row>
    <row r="75" spans="1:15" ht="8.25" customHeight="1" x14ac:dyDescent="0.35">
      <c r="A75" s="5"/>
      <c r="B75" s="5"/>
      <c r="C75" s="5"/>
      <c r="D75" s="5"/>
      <c r="E75" s="5"/>
      <c r="F75" s="5"/>
      <c r="G75" s="5"/>
      <c r="H75" s="5"/>
      <c r="I75" s="5"/>
      <c r="J75" s="26"/>
      <c r="K75" s="5"/>
      <c r="L75" s="5"/>
      <c r="M75" s="5"/>
      <c r="N75" s="5"/>
      <c r="O75" s="5"/>
    </row>
    <row r="76" spans="1:15" x14ac:dyDescent="0.35">
      <c r="A76" s="5"/>
      <c r="B76" s="5"/>
      <c r="C76" s="5"/>
      <c r="D76" s="5"/>
      <c r="E76" s="6" t="s">
        <v>4</v>
      </c>
      <c r="F76" s="7">
        <v>1</v>
      </c>
      <c r="G76" s="5"/>
      <c r="H76" s="5"/>
      <c r="I76" s="5"/>
      <c r="J76" s="26"/>
      <c r="K76" s="5"/>
      <c r="L76" s="5"/>
      <c r="M76" s="5"/>
      <c r="N76" s="5"/>
      <c r="O76" s="5"/>
    </row>
    <row r="77" spans="1:15" x14ac:dyDescent="0.35">
      <c r="A77" s="5"/>
      <c r="B77" s="5"/>
      <c r="C77" s="5"/>
      <c r="D77" s="5"/>
      <c r="E77" s="6" t="s">
        <v>5</v>
      </c>
      <c r="F77" s="7">
        <v>1.3586480971309958</v>
      </c>
      <c r="G77" s="5"/>
      <c r="H77" s="5"/>
      <c r="I77" s="5"/>
      <c r="J77" s="5"/>
      <c r="K77" s="5"/>
      <c r="L77" s="5"/>
      <c r="M77" s="5"/>
      <c r="N77" s="5"/>
      <c r="O77" s="5"/>
    </row>
    <row r="78" spans="1:15" x14ac:dyDescent="0.35">
      <c r="A78" s="5"/>
      <c r="B78" s="6"/>
      <c r="C78" s="7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</row>
    <row r="79" spans="1:15" ht="13.15" thickBot="1" x14ac:dyDescent="0.4">
      <c r="A79" s="9"/>
      <c r="B79" s="10" t="s">
        <v>6</v>
      </c>
      <c r="C79" s="29" t="str">
        <f t="shared" ref="C79:C85" si="17">D6</f>
        <v>xf</v>
      </c>
      <c r="D79" s="29" t="str">
        <f>K61</f>
        <v>xd</v>
      </c>
      <c r="E79" s="10" t="s">
        <v>48</v>
      </c>
      <c r="F79" s="10" t="s">
        <v>13</v>
      </c>
      <c r="G79" s="10" t="s">
        <v>21</v>
      </c>
      <c r="H79" s="5"/>
      <c r="I79" s="5"/>
      <c r="J79" s="5"/>
      <c r="K79" s="6" t="s">
        <v>29</v>
      </c>
      <c r="L79" s="5">
        <f>(0.2*J81)/(J82+1)</f>
        <v>7.8773611911080663E-2</v>
      </c>
      <c r="M79" s="5"/>
      <c r="N79" s="5"/>
      <c r="O79" s="5"/>
    </row>
    <row r="80" spans="1:15" ht="13.15" thickTop="1" x14ac:dyDescent="0.35">
      <c r="A80" s="9"/>
      <c r="B80" s="11">
        <v>3</v>
      </c>
      <c r="C80" s="28">
        <f t="shared" si="17"/>
        <v>0.05</v>
      </c>
      <c r="D80" s="28">
        <f t="shared" ref="D80:D85" si="18">K62</f>
        <v>9.2507530891861742E-2</v>
      </c>
      <c r="E80" s="11">
        <f>C62</f>
        <v>17.675776194477312</v>
      </c>
      <c r="F80" s="12">
        <f>(E80*C80)/(E80-$F$77)</f>
        <v>5.416325743422936E-2</v>
      </c>
      <c r="G80" s="12">
        <f>(E80*J21)/(E80-$F$77)</f>
        <v>0.10021018420601666</v>
      </c>
      <c r="H80" s="5"/>
      <c r="I80" s="5"/>
      <c r="J80" s="5"/>
      <c r="K80" s="6" t="s">
        <v>30</v>
      </c>
      <c r="L80" s="5">
        <f>1-EXP((1+54.4*L79)/(11+117.2*L79)*(L79-1)/L79^0.5)</f>
        <v>0.57574993876718517</v>
      </c>
      <c r="M80" s="5"/>
      <c r="N80" s="5"/>
      <c r="O80" s="5"/>
    </row>
    <row r="81" spans="1:15" x14ac:dyDescent="0.35">
      <c r="A81" s="9"/>
      <c r="B81" s="13">
        <v>4</v>
      </c>
      <c r="C81" s="27">
        <f t="shared" si="17"/>
        <v>0.1</v>
      </c>
      <c r="D81" s="27">
        <f t="shared" si="18"/>
        <v>0.18499923820595479</v>
      </c>
      <c r="E81" s="13">
        <f t="shared" ref="E81:E84" si="19">C63</f>
        <v>6.7855594947620848</v>
      </c>
      <c r="F81" s="12">
        <f t="shared" ref="F81:F83" si="20">(E81*C81)/(E81-$F$77)</f>
        <v>0.12503538380457183</v>
      </c>
      <c r="G81" s="12">
        <f>(E81*J22)/(E81-$F$77)</f>
        <v>0.23131450752634961</v>
      </c>
      <c r="H81" s="5"/>
      <c r="I81" s="4" t="s">
        <v>27</v>
      </c>
      <c r="J81" s="3">
        <f>G85-1</f>
        <v>0.74686989518241997</v>
      </c>
      <c r="K81" s="6" t="s">
        <v>31</v>
      </c>
      <c r="L81" s="5">
        <f>(L80+E69)/(1-L80)</f>
        <v>17.164367772044962</v>
      </c>
      <c r="M81" s="6" t="s">
        <v>49</v>
      </c>
      <c r="N81" s="9">
        <f>ROUNDUP(L81,0)</f>
        <v>18</v>
      </c>
    </row>
    <row r="82" spans="1:15" x14ac:dyDescent="0.35">
      <c r="A82" s="6" t="s">
        <v>23</v>
      </c>
      <c r="B82" s="13">
        <v>5</v>
      </c>
      <c r="C82" s="27">
        <f t="shared" si="17"/>
        <v>0.4</v>
      </c>
      <c r="D82" s="27">
        <f t="shared" si="18"/>
        <v>0.70305733282393246</v>
      </c>
      <c r="E82" s="13">
        <f t="shared" si="19"/>
        <v>2.6049106500534873</v>
      </c>
      <c r="F82" s="12">
        <f t="shared" si="20"/>
        <v>0.83607122558403435</v>
      </c>
      <c r="G82" s="12">
        <f t="shared" ref="G82:G84" si="21">(E82*J23)/(E82-$F$77)</f>
        <v>1.4695150147748688</v>
      </c>
      <c r="H82" s="5"/>
      <c r="I82" s="4" t="s">
        <v>28</v>
      </c>
      <c r="J82" s="2">
        <f>1.2*J81</f>
        <v>0.89624387421890395</v>
      </c>
      <c r="K82" s="5"/>
      <c r="L82" s="5"/>
      <c r="M82" s="5"/>
      <c r="N82" s="5"/>
      <c r="O82" s="5"/>
    </row>
    <row r="83" spans="1:15" x14ac:dyDescent="0.35">
      <c r="A83" s="6" t="s">
        <v>24</v>
      </c>
      <c r="B83" s="13">
        <v>6</v>
      </c>
      <c r="C83" s="27">
        <f t="shared" si="17"/>
        <v>0.35</v>
      </c>
      <c r="D83" s="27">
        <f t="shared" si="18"/>
        <v>1.9426584196450762E-2</v>
      </c>
      <c r="E83" s="13">
        <f t="shared" si="19"/>
        <v>1</v>
      </c>
      <c r="F83" s="12">
        <f t="shared" si="20"/>
        <v>-0.97588695660125846</v>
      </c>
      <c r="G83" s="12">
        <f t="shared" si="21"/>
        <v>-5.4166143224664107E-2</v>
      </c>
      <c r="H83" s="5"/>
      <c r="I83" s="5"/>
      <c r="J83" s="5"/>
      <c r="K83" s="6" t="s">
        <v>32</v>
      </c>
      <c r="L83" s="5">
        <f>0.206*LOG((L67/J67)*(D10/D9)*(M64/K65)^2,10)</f>
        <v>0.11787184856394115</v>
      </c>
      <c r="M83" s="5"/>
      <c r="N83" s="5"/>
      <c r="O83" s="5"/>
    </row>
    <row r="84" spans="1:15" ht="13.15" thickBot="1" x14ac:dyDescent="0.4">
      <c r="A84" s="9"/>
      <c r="B84" s="10">
        <v>7</v>
      </c>
      <c r="C84" s="29">
        <f t="shared" si="17"/>
        <v>0.1</v>
      </c>
      <c r="D84" s="29">
        <f t="shared" si="18"/>
        <v>9.3138818003535616E-6</v>
      </c>
      <c r="E84" s="10">
        <f t="shared" si="19"/>
        <v>0.38389032651828836</v>
      </c>
      <c r="F84" s="17">
        <f>(E84*C84)/(E84-$F$77)</f>
        <v>-3.9383151188113627E-2</v>
      </c>
      <c r="G84" s="12">
        <f t="shared" si="21"/>
        <v>-3.6681001509154359E-6</v>
      </c>
      <c r="H84" s="5"/>
      <c r="I84" s="5"/>
      <c r="J84" s="5"/>
      <c r="K84" s="6" t="s">
        <v>33</v>
      </c>
      <c r="L84" s="5">
        <f>N81-L85</f>
        <v>10.213902281367442</v>
      </c>
      <c r="M84" s="5"/>
      <c r="N84" s="5"/>
      <c r="O84" s="5"/>
    </row>
    <row r="85" spans="1:15" ht="13.15" thickTop="1" x14ac:dyDescent="0.35">
      <c r="A85" s="9"/>
      <c r="B85" s="11" t="s">
        <v>36</v>
      </c>
      <c r="C85" s="28">
        <f t="shared" si="17"/>
        <v>1</v>
      </c>
      <c r="D85" s="28">
        <f t="shared" si="18"/>
        <v>1</v>
      </c>
      <c r="E85" s="30"/>
      <c r="F85" s="12">
        <f>SUM(F80:F84)+F76</f>
        <v>0.99999975903346339</v>
      </c>
      <c r="G85" s="12">
        <f>SUM(G80:G84)</f>
        <v>1.74686989518242</v>
      </c>
      <c r="H85" s="5"/>
      <c r="I85" s="5"/>
      <c r="J85" s="5"/>
      <c r="K85" s="6" t="s">
        <v>34</v>
      </c>
      <c r="L85" s="5">
        <f>N81/(1+10^L83)</f>
        <v>7.7860977186325568</v>
      </c>
      <c r="M85" s="5"/>
      <c r="N85" s="5"/>
      <c r="O85" s="5"/>
    </row>
    <row r="86" spans="1:15" x14ac:dyDescent="0.35">
      <c r="A86" s="5"/>
      <c r="B86" s="15"/>
      <c r="C86" s="9"/>
      <c r="D86" s="9"/>
      <c r="E86" s="5"/>
      <c r="F86" s="9" t="s">
        <v>35</v>
      </c>
      <c r="H86" s="5"/>
      <c r="I86" s="5"/>
      <c r="J86" s="5"/>
      <c r="K86" s="5"/>
      <c r="L86" s="5"/>
      <c r="M86" s="5"/>
      <c r="N86" s="5"/>
      <c r="O86" s="5"/>
    </row>
    <row r="87" spans="1:15" x14ac:dyDescent="0.35">
      <c r="A87" s="5"/>
      <c r="B87" s="5"/>
      <c r="C87" s="5"/>
      <c r="D87" s="5"/>
      <c r="E87" s="5"/>
      <c r="G87" s="5"/>
      <c r="H87" s="5"/>
      <c r="I87" s="5"/>
      <c r="J87" s="5"/>
      <c r="K87" s="5"/>
      <c r="L87" s="5"/>
      <c r="M87" s="5"/>
      <c r="N87" s="5"/>
      <c r="O87" s="5"/>
    </row>
    <row r="88" spans="1:15" x14ac:dyDescent="0.3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</row>
    <row r="89" spans="1:15" x14ac:dyDescent="0.3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</row>
    <row r="90" spans="1:15" x14ac:dyDescent="0.3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</row>
    <row r="91" spans="1:15" x14ac:dyDescent="0.3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</row>
    <row r="92" spans="1:15" x14ac:dyDescent="0.3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</row>
    <row r="93" spans="1:15" x14ac:dyDescent="0.3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</row>
    <row r="94" spans="1:15" x14ac:dyDescent="0.3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</row>
    <row r="95" spans="1:15" x14ac:dyDescent="0.3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</row>
    <row r="96" spans="1:15" x14ac:dyDescent="0.3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</row>
    <row r="97" spans="1:15" x14ac:dyDescent="0.3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</row>
    <row r="98" spans="1:15" x14ac:dyDescent="0.3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</row>
    <row r="99" spans="1:15" x14ac:dyDescent="0.3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</row>
    <row r="100" spans="1:15" x14ac:dyDescent="0.3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</row>
    <row r="101" spans="1:15" x14ac:dyDescent="0.3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</row>
    <row r="102" spans="1:15" x14ac:dyDescent="0.3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</row>
    <row r="103" spans="1:15" x14ac:dyDescent="0.3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</row>
    <row r="104" spans="1:15" x14ac:dyDescent="0.3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</row>
    <row r="105" spans="1:15" x14ac:dyDescent="0.3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</row>
    <row r="106" spans="1:15" x14ac:dyDescent="0.3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</row>
    <row r="107" spans="1:15" x14ac:dyDescent="0.3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</row>
    <row r="108" spans="1:15" x14ac:dyDescent="0.3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</row>
    <row r="109" spans="1:15" x14ac:dyDescent="0.3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</row>
    <row r="110" spans="1:15" x14ac:dyDescent="0.3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</row>
    <row r="111" spans="1:15" x14ac:dyDescent="0.3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</row>
    <row r="112" spans="1:15" x14ac:dyDescent="0.3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</row>
    <row r="113" spans="1:15" x14ac:dyDescent="0.3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</row>
    <row r="114" spans="1:15" x14ac:dyDescent="0.3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</row>
    <row r="115" spans="1:15" x14ac:dyDescent="0.3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</row>
    <row r="116" spans="1:15" x14ac:dyDescent="0.3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</row>
    <row r="117" spans="1:15" x14ac:dyDescent="0.3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</row>
    <row r="118" spans="1:15" x14ac:dyDescent="0.3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</row>
    <row r="119" spans="1:15" x14ac:dyDescent="0.3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</row>
    <row r="120" spans="1:15" x14ac:dyDescent="0.3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</row>
    <row r="121" spans="1:15" x14ac:dyDescent="0.3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</row>
    <row r="122" spans="1:15" x14ac:dyDescent="0.3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</row>
    <row r="123" spans="1:15" x14ac:dyDescent="0.3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</row>
    <row r="124" spans="1:15" x14ac:dyDescent="0.3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</row>
    <row r="125" spans="1:15" x14ac:dyDescent="0.3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</row>
    <row r="126" spans="1:15" x14ac:dyDescent="0.3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</row>
    <row r="127" spans="1:15" x14ac:dyDescent="0.3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</row>
    <row r="128" spans="1:15" x14ac:dyDescent="0.3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</row>
    <row r="129" spans="1:15" x14ac:dyDescent="0.3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</row>
    <row r="130" spans="1:15" x14ac:dyDescent="0.3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</row>
    <row r="131" spans="1:15" x14ac:dyDescent="0.3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</row>
    <row r="132" spans="1:15" x14ac:dyDescent="0.3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</row>
    <row r="133" spans="1:15" x14ac:dyDescent="0.3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</row>
    <row r="134" spans="1:15" x14ac:dyDescent="0.3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</row>
    <row r="135" spans="1:15" x14ac:dyDescent="0.3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</row>
    <row r="136" spans="1:15" x14ac:dyDescent="0.3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</row>
    <row r="137" spans="1:15" x14ac:dyDescent="0.3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</row>
    <row r="138" spans="1:15" x14ac:dyDescent="0.3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</row>
    <row r="139" spans="1:15" x14ac:dyDescent="0.3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</row>
  </sheetData>
  <sheetProtection selectLockedCells="1" selectUnlockedCells="1"/>
  <mergeCells count="8">
    <mergeCell ref="I19:L19"/>
    <mergeCell ref="M61:N61"/>
    <mergeCell ref="M67:N67"/>
    <mergeCell ref="M66:N66"/>
    <mergeCell ref="M65:N65"/>
    <mergeCell ref="M64:N64"/>
    <mergeCell ref="M63:N63"/>
    <mergeCell ref="M62:N62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mjki3tr2</dc:creator>
  <cp:lastModifiedBy>mjki3tr2</cp:lastModifiedBy>
  <dcterms:created xsi:type="dcterms:W3CDTF">2014-09-25T16:57:31Z</dcterms:created>
  <dcterms:modified xsi:type="dcterms:W3CDTF">2023-07-09T23:10:50Z</dcterms:modified>
</cp:coreProperties>
</file>