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work\Teaching\2023-2024_Aspen\"/>
    </mc:Choice>
  </mc:AlternateContent>
  <xr:revisionPtr revIDLastSave="0" documentId="13_ncr:1_{BCC378A8-4C98-40EF-AF2C-95D4ABDFAB40}" xr6:coauthVersionLast="47" xr6:coauthVersionMax="47" xr10:uidLastSave="{00000000-0000-0000-0000-000000000000}"/>
  <bookViews>
    <workbookView xWindow="-98" yWindow="-98" windowWidth="20715" windowHeight="13276" tabRatio="494" xr2:uid="{00000000-000D-0000-FFFF-FFFF00000000}"/>
  </bookViews>
  <sheets>
    <sheet name="Summary" sheetId="4" r:id="rId1"/>
    <sheet name="Prefrac" sheetId="1" r:id="rId2"/>
    <sheet name="2Top" sheetId="2" r:id="rId3"/>
    <sheet name="2Bottom" sheetId="3" r:id="rId4"/>
    <sheet name="Final" sheetId="5" r:id="rId5"/>
  </sheets>
  <definedNames>
    <definedName name="Excel_BuiltIn_Print_Area">NA()</definedName>
    <definedName name="Excel_BuiltIn_Print_Area_1">NA()</definedName>
    <definedName name="Excel_BuiltIn_Print_Area_2">NA()</definedName>
    <definedName name="Excel_BuiltIn_Sheet_Title">"Sheet1"</definedName>
    <definedName name="Excel_BuiltIn_Sheet_Title_1">"Sheet2"</definedName>
    <definedName name="Excel_BuiltIn_Sheet_Title_2">"Sheet3"</definedName>
    <definedName name="solver_adj" localSheetId="3" hidden="1">'2Bottom'!$H$33</definedName>
    <definedName name="solver_adj" localSheetId="2" hidden="1">'2Top'!$H$33</definedName>
    <definedName name="solver_adj" localSheetId="4" hidden="1">Final!$F$33</definedName>
    <definedName name="solver_adj" localSheetId="1" hidden="1">Prefrac!$F$33</definedName>
    <definedName name="solver_cvg" localSheetId="3" hidden="1">0.0001</definedName>
    <definedName name="solver_cvg" localSheetId="2" hidden="1">0.0001</definedName>
    <definedName name="solver_cvg" localSheetId="4" hidden="1">0.0001</definedName>
    <definedName name="solver_cvg" localSheetId="1" hidden="1">0.0001</definedName>
    <definedName name="solver_drv" localSheetId="3" hidden="1">1</definedName>
    <definedName name="solver_drv" localSheetId="2" hidden="1">1</definedName>
    <definedName name="solver_drv" localSheetId="4" hidden="1">1</definedName>
    <definedName name="solver_drv" localSheetId="1" hidden="1">1</definedName>
    <definedName name="solver_eng" localSheetId="3" hidden="1">1</definedName>
    <definedName name="solver_eng" localSheetId="2" hidden="1">1</definedName>
    <definedName name="solver_eng" localSheetId="4" hidden="1">1</definedName>
    <definedName name="solver_eng" localSheetId="1" hidden="1">1</definedName>
    <definedName name="solver_est" localSheetId="3" hidden="1">1</definedName>
    <definedName name="solver_est" localSheetId="2" hidden="1">1</definedName>
    <definedName name="solver_est" localSheetId="4" hidden="1">1</definedName>
    <definedName name="solver_est" localSheetId="1" hidden="1">1</definedName>
    <definedName name="solver_itr" localSheetId="3" hidden="1">2147483647</definedName>
    <definedName name="solver_itr" localSheetId="2" hidden="1">2147483647</definedName>
    <definedName name="solver_itr" localSheetId="4" hidden="1">2147483647</definedName>
    <definedName name="solver_itr" localSheetId="1" hidden="1">2147483647</definedName>
    <definedName name="solver_mip" localSheetId="3" hidden="1">2147483647</definedName>
    <definedName name="solver_mip" localSheetId="2" hidden="1">2147483647</definedName>
    <definedName name="solver_mip" localSheetId="4" hidden="1">2147483647</definedName>
    <definedName name="solver_mip" localSheetId="1" hidden="1">2147483647</definedName>
    <definedName name="solver_mni" localSheetId="3" hidden="1">30</definedName>
    <definedName name="solver_mni" localSheetId="2" hidden="1">30</definedName>
    <definedName name="solver_mni" localSheetId="4" hidden="1">30</definedName>
    <definedName name="solver_mni" localSheetId="1" hidden="1">30</definedName>
    <definedName name="solver_mrt" localSheetId="3" hidden="1">0.075</definedName>
    <definedName name="solver_mrt" localSheetId="2" hidden="1">0.075</definedName>
    <definedName name="solver_mrt" localSheetId="4" hidden="1">0.075</definedName>
    <definedName name="solver_mrt" localSheetId="1" hidden="1">0.075</definedName>
    <definedName name="solver_msl" localSheetId="3" hidden="1">2</definedName>
    <definedName name="solver_msl" localSheetId="2" hidden="1">2</definedName>
    <definedName name="solver_msl" localSheetId="4" hidden="1">2</definedName>
    <definedName name="solver_msl" localSheetId="1" hidden="1">2</definedName>
    <definedName name="solver_neg" localSheetId="3" hidden="1">1</definedName>
    <definedName name="solver_neg" localSheetId="2" hidden="1">1</definedName>
    <definedName name="solver_neg" localSheetId="4" hidden="1">1</definedName>
    <definedName name="solver_neg" localSheetId="1" hidden="1">1</definedName>
    <definedName name="solver_nod" localSheetId="3" hidden="1">2147483647</definedName>
    <definedName name="solver_nod" localSheetId="2" hidden="1">2147483647</definedName>
    <definedName name="solver_nod" localSheetId="4" hidden="1">2147483647</definedName>
    <definedName name="solver_nod" localSheetId="1" hidden="1">2147483647</definedName>
    <definedName name="solver_num" localSheetId="3" hidden="1">0</definedName>
    <definedName name="solver_num" localSheetId="2" hidden="1">0</definedName>
    <definedName name="solver_num" localSheetId="4" hidden="1">0</definedName>
    <definedName name="solver_num" localSheetId="1" hidden="1">0</definedName>
    <definedName name="solver_nwt" localSheetId="3" hidden="1">1</definedName>
    <definedName name="solver_nwt" localSheetId="2" hidden="1">1</definedName>
    <definedName name="solver_nwt" localSheetId="4" hidden="1">1</definedName>
    <definedName name="solver_nwt" localSheetId="1" hidden="1">1</definedName>
    <definedName name="solver_opt" localSheetId="3" hidden="1">'2Bottom'!$G$40</definedName>
    <definedName name="solver_opt" localSheetId="2" hidden="1">'2Top'!$G$40</definedName>
    <definedName name="solver_opt" localSheetId="4" hidden="1">Final!$E$40</definedName>
    <definedName name="solver_opt" localSheetId="1" hidden="1">Prefrac!$E$40</definedName>
    <definedName name="solver_pre" localSheetId="3" hidden="1">0.000001</definedName>
    <definedName name="solver_pre" localSheetId="2" hidden="1">0.000001</definedName>
    <definedName name="solver_pre" localSheetId="4" hidden="1">0.000001</definedName>
    <definedName name="solver_pre" localSheetId="1" hidden="1">0.000001</definedName>
    <definedName name="solver_rbv" localSheetId="3" hidden="1">1</definedName>
    <definedName name="solver_rbv" localSheetId="2" hidden="1">1</definedName>
    <definedName name="solver_rbv" localSheetId="4" hidden="1">1</definedName>
    <definedName name="solver_rbv" localSheetId="1" hidden="1">1</definedName>
    <definedName name="solver_rlx" localSheetId="3" hidden="1">2</definedName>
    <definedName name="solver_rlx" localSheetId="2" hidden="1">2</definedName>
    <definedName name="solver_rlx" localSheetId="4" hidden="1">2</definedName>
    <definedName name="solver_rlx" localSheetId="1" hidden="1">2</definedName>
    <definedName name="solver_rsd" localSheetId="3" hidden="1">0</definedName>
    <definedName name="solver_rsd" localSheetId="2" hidden="1">0</definedName>
    <definedName name="solver_rsd" localSheetId="4" hidden="1">0</definedName>
    <definedName name="solver_rsd" localSheetId="1" hidden="1">0</definedName>
    <definedName name="solver_scl" localSheetId="3" hidden="1">1</definedName>
    <definedName name="solver_scl" localSheetId="2" hidden="1">1</definedName>
    <definedName name="solver_scl" localSheetId="4" hidden="1">1</definedName>
    <definedName name="solver_scl" localSheetId="1" hidden="1">1</definedName>
    <definedName name="solver_sho" localSheetId="3" hidden="1">2</definedName>
    <definedName name="solver_sho" localSheetId="2" hidden="1">2</definedName>
    <definedName name="solver_sho" localSheetId="4" hidden="1">2</definedName>
    <definedName name="solver_sho" localSheetId="1" hidden="1">2</definedName>
    <definedName name="solver_ssz" localSheetId="3" hidden="1">100</definedName>
    <definedName name="solver_ssz" localSheetId="2" hidden="1">100</definedName>
    <definedName name="solver_ssz" localSheetId="4" hidden="1">100</definedName>
    <definedName name="solver_ssz" localSheetId="1" hidden="1">100</definedName>
    <definedName name="solver_tim" localSheetId="3" hidden="1">2147483647</definedName>
    <definedName name="solver_tim" localSheetId="2" hidden="1">2147483647</definedName>
    <definedName name="solver_tim" localSheetId="4" hidden="1">2147483647</definedName>
    <definedName name="solver_tim" localSheetId="1" hidden="1">2147483647</definedName>
    <definedName name="solver_tol" localSheetId="3" hidden="1">0.01</definedName>
    <definedName name="solver_tol" localSheetId="2" hidden="1">0.01</definedName>
    <definedName name="solver_tol" localSheetId="4" hidden="1">0.01</definedName>
    <definedName name="solver_tol" localSheetId="1" hidden="1">0.01</definedName>
    <definedName name="solver_typ" localSheetId="3" hidden="1">3</definedName>
    <definedName name="solver_typ" localSheetId="2" hidden="1">3</definedName>
    <definedName name="solver_typ" localSheetId="4" hidden="1">3</definedName>
    <definedName name="solver_typ" localSheetId="1" hidden="1">3</definedName>
    <definedName name="solver_val" localSheetId="3" hidden="1">1</definedName>
    <definedName name="solver_val" localSheetId="2" hidden="1">1</definedName>
    <definedName name="solver_val" localSheetId="4" hidden="1">1</definedName>
    <definedName name="solver_val" localSheetId="1" hidden="1">1</definedName>
    <definedName name="solver_ver" localSheetId="3" hidden="1">3</definedName>
    <definedName name="solver_ver" localSheetId="2" hidden="1">3</definedName>
    <definedName name="solver_ver" localSheetId="4" hidden="1">3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3" l="1"/>
  <c r="K39" i="2"/>
  <c r="U40" i="4"/>
  <c r="U39" i="4"/>
  <c r="U38" i="4"/>
  <c r="U37" i="4"/>
  <c r="U36" i="4"/>
  <c r="T40" i="4"/>
  <c r="T39" i="4"/>
  <c r="T38" i="4"/>
  <c r="T37" i="4"/>
  <c r="T36" i="4"/>
  <c r="T35" i="4"/>
  <c r="S27" i="4"/>
  <c r="S16" i="4"/>
  <c r="U10" i="4"/>
  <c r="U9" i="4"/>
  <c r="U8" i="4"/>
  <c r="U7" i="4"/>
  <c r="U6" i="4"/>
  <c r="T10" i="4"/>
  <c r="T9" i="4"/>
  <c r="T8" i="4"/>
  <c r="T7" i="4"/>
  <c r="T6" i="4"/>
  <c r="T5" i="4"/>
  <c r="R4" i="4"/>
  <c r="K39" i="5"/>
  <c r="M39" i="3"/>
  <c r="M39" i="2"/>
  <c r="K39" i="1"/>
  <c r="K38" i="3"/>
  <c r="D26" i="5"/>
  <c r="G27" i="5" s="1"/>
  <c r="F20" i="5"/>
  <c r="E23" i="5"/>
  <c r="D23" i="5"/>
  <c r="D22" i="5"/>
  <c r="C23" i="5"/>
  <c r="C22" i="5"/>
  <c r="F7" i="5"/>
  <c r="F8" i="5"/>
  <c r="F21" i="5" s="1"/>
  <c r="F9" i="5"/>
  <c r="F10" i="5"/>
  <c r="D8" i="5"/>
  <c r="C37" i="5" s="1"/>
  <c r="D9" i="5"/>
  <c r="D10" i="5"/>
  <c r="C39" i="5" s="1"/>
  <c r="D7" i="5"/>
  <c r="C8" i="5"/>
  <c r="C9" i="5"/>
  <c r="C10" i="5"/>
  <c r="C7" i="5"/>
  <c r="D39" i="5"/>
  <c r="C38" i="5"/>
  <c r="C36" i="5"/>
  <c r="C35" i="5"/>
  <c r="F23" i="5"/>
  <c r="E8" i="5"/>
  <c r="E7" i="5"/>
  <c r="N5" i="4"/>
  <c r="N6" i="4"/>
  <c r="N35" i="4"/>
  <c r="N36" i="4"/>
  <c r="H34" i="4"/>
  <c r="H35" i="4"/>
  <c r="H36" i="4"/>
  <c r="H37" i="4"/>
  <c r="H33" i="4"/>
  <c r="H27" i="4"/>
  <c r="H28" i="4"/>
  <c r="H29" i="4"/>
  <c r="H30" i="4"/>
  <c r="H26" i="4"/>
  <c r="H16" i="4"/>
  <c r="H17" i="4"/>
  <c r="H18" i="4"/>
  <c r="H19" i="4"/>
  <c r="H15" i="4"/>
  <c r="H9" i="4"/>
  <c r="H10" i="4"/>
  <c r="H11" i="4"/>
  <c r="H12" i="4"/>
  <c r="H8" i="4"/>
  <c r="G26" i="5" l="1"/>
  <c r="E22" i="5"/>
  <c r="E39" i="5"/>
  <c r="D11" i="5"/>
  <c r="C40" i="5" s="1"/>
  <c r="D36" i="5"/>
  <c r="E36" i="5" s="1"/>
  <c r="C11" i="5"/>
  <c r="F22" i="5"/>
  <c r="D38" i="5"/>
  <c r="E38" i="5" s="1"/>
  <c r="D37" i="5"/>
  <c r="E37" i="5" s="1"/>
  <c r="N37" i="4"/>
  <c r="N38" i="4"/>
  <c r="N39" i="4"/>
  <c r="N40" i="4"/>
  <c r="N20" i="4"/>
  <c r="N21" i="4"/>
  <c r="N22" i="4"/>
  <c r="N23" i="4"/>
  <c r="N24" i="4"/>
  <c r="N19" i="4"/>
  <c r="N7" i="4"/>
  <c r="N8" i="4"/>
  <c r="N9" i="4"/>
  <c r="N10" i="4"/>
  <c r="C20" i="4"/>
  <c r="C21" i="4"/>
  <c r="C22" i="4"/>
  <c r="C23" i="4"/>
  <c r="C24" i="4"/>
  <c r="C19" i="4"/>
  <c r="F10" i="3"/>
  <c r="F23" i="3" s="1"/>
  <c r="F9" i="3"/>
  <c r="F39" i="3"/>
  <c r="C35" i="3"/>
  <c r="E8" i="3"/>
  <c r="E7" i="3" s="1"/>
  <c r="F7" i="3" s="1"/>
  <c r="E8" i="1"/>
  <c r="E7" i="1" s="1"/>
  <c r="F7" i="1" s="1"/>
  <c r="E8" i="2"/>
  <c r="F9" i="2" s="1"/>
  <c r="F22" i="2" s="1"/>
  <c r="C35" i="2"/>
  <c r="F10" i="1"/>
  <c r="D39" i="1" s="1"/>
  <c r="F9" i="1"/>
  <c r="D38" i="1" s="1"/>
  <c r="C8" i="1"/>
  <c r="D21" i="4" s="1"/>
  <c r="C9" i="1"/>
  <c r="C22" i="1" s="1"/>
  <c r="C10" i="1"/>
  <c r="D23" i="4" s="1"/>
  <c r="C7" i="1"/>
  <c r="C20" i="1" s="1"/>
  <c r="E40" i="5" l="1"/>
  <c r="F8" i="3"/>
  <c r="F37" i="3" s="1"/>
  <c r="D22" i="4"/>
  <c r="D20" i="4"/>
  <c r="F20" i="3"/>
  <c r="F36" i="3"/>
  <c r="E7" i="2"/>
  <c r="F7" i="2" s="1"/>
  <c r="F36" i="2" s="1"/>
  <c r="F8" i="2"/>
  <c r="F37" i="2" s="1"/>
  <c r="D36" i="1"/>
  <c r="F8" i="1"/>
  <c r="D37" i="1" s="1"/>
  <c r="F10" i="2"/>
  <c r="F39" i="2" s="1"/>
  <c r="F38" i="2"/>
  <c r="D20" i="1"/>
  <c r="E20" i="1" s="1"/>
  <c r="D22" i="1"/>
  <c r="C11" i="1"/>
  <c r="D24" i="4" s="1"/>
  <c r="C35" i="1"/>
  <c r="G20" i="5" l="1"/>
  <c r="F21" i="2"/>
  <c r="F21" i="3"/>
  <c r="F38" i="3"/>
  <c r="F22" i="3"/>
  <c r="F20" i="2"/>
  <c r="F23" i="2"/>
  <c r="D26" i="1"/>
  <c r="G27" i="1" s="1"/>
  <c r="C36" i="1"/>
  <c r="F21" i="1"/>
  <c r="F23" i="1"/>
  <c r="G22" i="5" l="1"/>
  <c r="H22" i="5" s="1"/>
  <c r="I22" i="5" s="1"/>
  <c r="G23" i="5"/>
  <c r="H23" i="5" s="1"/>
  <c r="I23" i="5" s="1"/>
  <c r="H20" i="5"/>
  <c r="I20" i="5" s="1"/>
  <c r="G21" i="5"/>
  <c r="H21" i="5" s="1"/>
  <c r="I21" i="5" s="1"/>
  <c r="G26" i="1"/>
  <c r="C37" i="1"/>
  <c r="C39" i="1"/>
  <c r="C38" i="1"/>
  <c r="F20" i="1"/>
  <c r="E22" i="1"/>
  <c r="F22" i="1"/>
  <c r="D11" i="1"/>
  <c r="C40" i="1" s="1"/>
  <c r="K22" i="5" l="1"/>
  <c r="K21" i="5"/>
  <c r="I24" i="5"/>
  <c r="J22" i="5" s="1"/>
  <c r="F38" i="5" s="1"/>
  <c r="K20" i="5"/>
  <c r="K23" i="5"/>
  <c r="E37" i="1"/>
  <c r="E38" i="1"/>
  <c r="E36" i="1"/>
  <c r="E39" i="1"/>
  <c r="K24" i="5" l="1"/>
  <c r="L20" i="5" s="1"/>
  <c r="J21" i="5"/>
  <c r="F37" i="5" s="1"/>
  <c r="J23" i="5"/>
  <c r="F39" i="5" s="1"/>
  <c r="J20" i="5"/>
  <c r="E40" i="1"/>
  <c r="G20" i="1"/>
  <c r="H20" i="1" s="1"/>
  <c r="I20" i="1" s="1"/>
  <c r="G23" i="1"/>
  <c r="H23" i="1" s="1"/>
  <c r="I23" i="1" s="1"/>
  <c r="G21" i="1"/>
  <c r="H21" i="1" s="1"/>
  <c r="I21" i="1" s="1"/>
  <c r="G22" i="1"/>
  <c r="H22" i="1" s="1"/>
  <c r="I22" i="1" s="1"/>
  <c r="L23" i="5" l="1"/>
  <c r="L22" i="5"/>
  <c r="L21" i="5"/>
  <c r="J24" i="5"/>
  <c r="F36" i="5"/>
  <c r="F40" i="5" s="1"/>
  <c r="I37" i="5" s="1"/>
  <c r="I38" i="5" s="1"/>
  <c r="K21" i="1"/>
  <c r="K23" i="1"/>
  <c r="K22" i="1"/>
  <c r="K20" i="1"/>
  <c r="I24" i="1"/>
  <c r="K35" i="5" l="1"/>
  <c r="K36" i="5" s="1"/>
  <c r="K37" i="5" s="1"/>
  <c r="D50" i="5"/>
  <c r="D48" i="5"/>
  <c r="C48" i="5"/>
  <c r="D49" i="5"/>
  <c r="D51" i="5"/>
  <c r="C51" i="5"/>
  <c r="C50" i="5"/>
  <c r="C49" i="5"/>
  <c r="L24" i="5"/>
  <c r="K24" i="1"/>
  <c r="L22" i="1" s="1"/>
  <c r="J20" i="1"/>
  <c r="J21" i="1"/>
  <c r="J22" i="1"/>
  <c r="J23" i="1"/>
  <c r="D52" i="5" l="1"/>
  <c r="K41" i="5"/>
  <c r="M41" i="5" s="1"/>
  <c r="C52" i="5"/>
  <c r="E52" i="5" s="1"/>
  <c r="F38" i="1"/>
  <c r="F37" i="1"/>
  <c r="F36" i="1"/>
  <c r="F39" i="1"/>
  <c r="L21" i="1"/>
  <c r="L23" i="1"/>
  <c r="L20" i="1"/>
  <c r="J24" i="1"/>
  <c r="E50" i="5" l="1"/>
  <c r="F50" i="5" s="1"/>
  <c r="E51" i="5"/>
  <c r="F51" i="5" s="1"/>
  <c r="E48" i="5"/>
  <c r="F48" i="5" s="1"/>
  <c r="E49" i="5"/>
  <c r="F49" i="5" s="1"/>
  <c r="K40" i="5"/>
  <c r="M40" i="5" s="1"/>
  <c r="F40" i="1"/>
  <c r="L24" i="1"/>
  <c r="F52" i="5" l="1"/>
  <c r="I37" i="1"/>
  <c r="I38" i="1" s="1"/>
  <c r="C51" i="1" l="1"/>
  <c r="D49" i="1"/>
  <c r="I16" i="4" s="1"/>
  <c r="C49" i="1"/>
  <c r="C48" i="1"/>
  <c r="D48" i="1"/>
  <c r="C50" i="1"/>
  <c r="D50" i="1"/>
  <c r="I17" i="4" s="1"/>
  <c r="D51" i="1"/>
  <c r="I18" i="4" s="1"/>
  <c r="K35" i="1"/>
  <c r="K36" i="1" s="1"/>
  <c r="K37" i="1" s="1"/>
  <c r="K41" i="1" s="1"/>
  <c r="K40" i="1" s="1"/>
  <c r="D52" i="1" l="1"/>
  <c r="I19" i="4" s="1"/>
  <c r="I15" i="4"/>
  <c r="I10" i="4"/>
  <c r="C9" i="2"/>
  <c r="C52" i="1"/>
  <c r="I8" i="4"/>
  <c r="C7" i="2"/>
  <c r="C8" i="2"/>
  <c r="I9" i="4"/>
  <c r="C10" i="2"/>
  <c r="I11" i="4"/>
  <c r="M40" i="1"/>
  <c r="G19" i="4" s="1"/>
  <c r="M41" i="1"/>
  <c r="G24" i="4" s="1"/>
  <c r="C11" i="2" l="1"/>
  <c r="D10" i="2" s="1"/>
  <c r="C39" i="2" s="1"/>
  <c r="G39" i="2" s="1"/>
  <c r="D7" i="2"/>
  <c r="C20" i="2"/>
  <c r="D20" i="2" s="1"/>
  <c r="D9" i="2"/>
  <c r="C38" i="2" s="1"/>
  <c r="G38" i="2" s="1"/>
  <c r="I12" i="4"/>
  <c r="E52" i="1"/>
  <c r="D8" i="2"/>
  <c r="C37" i="2" s="1"/>
  <c r="G37" i="2" s="1"/>
  <c r="C21" i="2"/>
  <c r="D21" i="2"/>
  <c r="E21" i="2" s="1"/>
  <c r="E20" i="2" l="1"/>
  <c r="D26" i="2"/>
  <c r="G27" i="2" s="1"/>
  <c r="C36" i="2"/>
  <c r="G36" i="2" s="1"/>
  <c r="G40" i="2" s="1"/>
  <c r="D11" i="2"/>
  <c r="C40" i="2" s="1"/>
  <c r="I30" i="4"/>
  <c r="E50" i="1"/>
  <c r="E48" i="1"/>
  <c r="E51" i="1"/>
  <c r="E49" i="1"/>
  <c r="F48" i="1" l="1"/>
  <c r="I26" i="4"/>
  <c r="I27" i="4"/>
  <c r="F49" i="1"/>
  <c r="F50" i="1"/>
  <c r="I28" i="4"/>
  <c r="I29" i="4"/>
  <c r="F51" i="1"/>
  <c r="G26" i="2"/>
  <c r="I34" i="4" l="1"/>
  <c r="C8" i="3"/>
  <c r="C10" i="3"/>
  <c r="I36" i="4"/>
  <c r="C9" i="3"/>
  <c r="I35" i="4"/>
  <c r="G22" i="2"/>
  <c r="H22" i="2" s="1"/>
  <c r="I22" i="2" s="1"/>
  <c r="G21" i="2"/>
  <c r="H21" i="2" s="1"/>
  <c r="I21" i="2" s="1"/>
  <c r="G20" i="2"/>
  <c r="H20" i="2" s="1"/>
  <c r="I20" i="2" s="1"/>
  <c r="G23" i="2"/>
  <c r="H23" i="2" s="1"/>
  <c r="I23" i="2" s="1"/>
  <c r="I33" i="4"/>
  <c r="C7" i="3"/>
  <c r="F52" i="1"/>
  <c r="I37" i="4" s="1"/>
  <c r="D38" i="2" l="1"/>
  <c r="O8" i="4"/>
  <c r="K22" i="2"/>
  <c r="C11" i="3"/>
  <c r="D10" i="3" s="1"/>
  <c r="C39" i="3" s="1"/>
  <c r="G39" i="3" s="1"/>
  <c r="D7" i="3"/>
  <c r="D39" i="2"/>
  <c r="O9" i="4"/>
  <c r="K23" i="2"/>
  <c r="C21" i="3"/>
  <c r="D21" i="3"/>
  <c r="E21" i="3" s="1"/>
  <c r="D37" i="2"/>
  <c r="O7" i="4"/>
  <c r="K21" i="2"/>
  <c r="C22" i="3"/>
  <c r="D22" i="3"/>
  <c r="O6" i="4"/>
  <c r="I24" i="2"/>
  <c r="J23" i="2" s="1"/>
  <c r="D36" i="2"/>
  <c r="J20" i="2"/>
  <c r="K20" i="2"/>
  <c r="E22" i="3" l="1"/>
  <c r="D26" i="3"/>
  <c r="G27" i="3" s="1"/>
  <c r="C36" i="3"/>
  <c r="G36" i="3" s="1"/>
  <c r="G40" i="3" s="1"/>
  <c r="D11" i="3"/>
  <c r="C40" i="3" s="1"/>
  <c r="K24" i="2"/>
  <c r="L20" i="2"/>
  <c r="D9" i="3"/>
  <c r="C38" i="3" s="1"/>
  <c r="G38" i="3" s="1"/>
  <c r="D8" i="3"/>
  <c r="C37" i="3" s="1"/>
  <c r="G37" i="3" s="1"/>
  <c r="L21" i="2"/>
  <c r="L23" i="2"/>
  <c r="L22" i="2"/>
  <c r="D40" i="2"/>
  <c r="E37" i="2" s="1"/>
  <c r="H37" i="2" s="1"/>
  <c r="E36" i="2"/>
  <c r="J21" i="2"/>
  <c r="J24" i="2" s="1"/>
  <c r="J22" i="2"/>
  <c r="O10" i="4"/>
  <c r="G26" i="3" l="1"/>
  <c r="H36" i="2"/>
  <c r="L24" i="2"/>
  <c r="E39" i="2"/>
  <c r="H39" i="2" s="1"/>
  <c r="E38" i="2"/>
  <c r="H38" i="2" s="1"/>
  <c r="E40" i="2" l="1"/>
  <c r="H40" i="2"/>
  <c r="K37" i="2" s="1"/>
  <c r="K38" i="2" s="1"/>
  <c r="G22" i="3"/>
  <c r="H22" i="3" s="1"/>
  <c r="I22" i="3" s="1"/>
  <c r="G20" i="3"/>
  <c r="H20" i="3" s="1"/>
  <c r="I20" i="3" s="1"/>
  <c r="G21" i="3"/>
  <c r="H21" i="3" s="1"/>
  <c r="I21" i="3" s="1"/>
  <c r="G23" i="3"/>
  <c r="H23" i="3" s="1"/>
  <c r="I23" i="3" s="1"/>
  <c r="K21" i="3" l="1"/>
  <c r="O21" i="4"/>
  <c r="K23" i="3"/>
  <c r="J23" i="3"/>
  <c r="O23" i="4"/>
  <c r="J22" i="3"/>
  <c r="K22" i="3"/>
  <c r="O22" i="4"/>
  <c r="I24" i="3"/>
  <c r="K20" i="3"/>
  <c r="O20" i="4"/>
  <c r="L4" i="4"/>
  <c r="M35" i="2"/>
  <c r="M36" i="2" s="1"/>
  <c r="M37" i="2" s="1"/>
  <c r="M41" i="2" l="1"/>
  <c r="O41" i="2" s="1"/>
  <c r="M16" i="4" s="1"/>
  <c r="D36" i="3"/>
  <c r="O36" i="4"/>
  <c r="K24" i="3"/>
  <c r="O40" i="4" s="1"/>
  <c r="L20" i="3"/>
  <c r="J20" i="3"/>
  <c r="J24" i="3" s="1"/>
  <c r="O24" i="4"/>
  <c r="D37" i="3"/>
  <c r="O37" i="4"/>
  <c r="D38" i="3"/>
  <c r="O38" i="4"/>
  <c r="L22" i="3"/>
  <c r="D39" i="3"/>
  <c r="O39" i="4"/>
  <c r="J21" i="3"/>
  <c r="M40" i="2" l="1"/>
  <c r="O40" i="2" s="1"/>
  <c r="M10" i="4" s="1"/>
  <c r="L21" i="3"/>
  <c r="D40" i="3"/>
  <c r="E39" i="3" s="1"/>
  <c r="H39" i="3" s="1"/>
  <c r="E36" i="3"/>
  <c r="E38" i="3"/>
  <c r="H38" i="3" s="1"/>
  <c r="L23" i="3"/>
  <c r="L24" i="3"/>
  <c r="E37" i="3"/>
  <c r="H37" i="3" s="1"/>
  <c r="E40" i="3" l="1"/>
  <c r="H36" i="3"/>
  <c r="H40" i="3" s="1"/>
  <c r="K37" i="3" s="1"/>
  <c r="M35" i="3" s="1"/>
  <c r="M36" i="3" s="1"/>
  <c r="M37" i="3" s="1"/>
  <c r="M41" i="3" l="1"/>
  <c r="O41" i="3" s="1"/>
  <c r="M33" i="4" s="1"/>
  <c r="M40" i="3" l="1"/>
  <c r="O40" i="3" s="1"/>
  <c r="M27" i="4" s="1"/>
</calcChain>
</file>

<file path=xl/sharedStrings.xml><?xml version="1.0" encoding="utf-8"?>
<sst xmlns="http://schemas.openxmlformats.org/spreadsheetml/2006/main" count="332" uniqueCount="59">
  <si>
    <t>LK to top</t>
  </si>
  <si>
    <t>HK to top</t>
  </si>
  <si>
    <t>q=</t>
  </si>
  <si>
    <t>Theta =</t>
  </si>
  <si>
    <t>F</t>
  </si>
  <si>
    <t>xf</t>
  </si>
  <si>
    <t>axf/(a-q)</t>
  </si>
  <si>
    <t>D</t>
  </si>
  <si>
    <t>xd</t>
  </si>
  <si>
    <t>B</t>
  </si>
  <si>
    <t>xb</t>
  </si>
  <si>
    <t>log(d/b)</t>
  </si>
  <si>
    <t>log(a)</t>
  </si>
  <si>
    <t>d/b</t>
  </si>
  <si>
    <t>axd/(a-q)</t>
  </si>
  <si>
    <t>-</t>
  </si>
  <si>
    <t>LK</t>
  </si>
  <si>
    <t>HK</t>
  </si>
  <si>
    <t>Nmin =</t>
  </si>
  <si>
    <t>A=</t>
  </si>
  <si>
    <t>Rmin =</t>
  </si>
  <si>
    <t>R =</t>
  </si>
  <si>
    <t>P =</t>
  </si>
  <si>
    <t>Y =</t>
  </si>
  <si>
    <t>N =</t>
  </si>
  <si>
    <t>log(Nr/Ns) =</t>
  </si>
  <si>
    <t>Nr =</t>
  </si>
  <si>
    <t>Ns =</t>
  </si>
  <si>
    <t>solve to 1</t>
  </si>
  <si>
    <t>Totals</t>
  </si>
  <si>
    <t>Calculate the feed condition:</t>
  </si>
  <si>
    <t>Now we calculate the minimum reflux ratio:</t>
  </si>
  <si>
    <t>alpha</t>
  </si>
  <si>
    <t>=</t>
  </si>
  <si>
    <t>A</t>
  </si>
  <si>
    <t>C</t>
  </si>
  <si>
    <t>Calculate the top and bottom product composition:</t>
  </si>
  <si>
    <t>Here we have just picked 1%</t>
  </si>
  <si>
    <t>Component</t>
  </si>
  <si>
    <t>sat vapour</t>
  </si>
  <si>
    <t>sat liquid</t>
  </si>
  <si>
    <t>al</t>
  </si>
  <si>
    <t>rel</t>
  </si>
  <si>
    <t>Now we calculate the minimum vapour flow - liquid side stream:</t>
  </si>
  <si>
    <t>M</t>
  </si>
  <si>
    <t>xM</t>
  </si>
  <si>
    <t>Assuming that the liquid side stream is approx the feed comp</t>
  </si>
  <si>
    <t>axm/(a-q)</t>
  </si>
  <si>
    <t>Vmin =</t>
  </si>
  <si>
    <t>Now we calculate the minimum vapour flow - vapour side stream:</t>
  </si>
  <si>
    <t>Assuming that the vapour side stream is approx the feed comp</t>
  </si>
  <si>
    <t>H</t>
  </si>
  <si>
    <t>xH</t>
  </si>
  <si>
    <t>Assumed R/Rmin =</t>
  </si>
  <si>
    <t>Vtop</t>
  </si>
  <si>
    <t>Ltop</t>
  </si>
  <si>
    <t>Vbottom</t>
  </si>
  <si>
    <t>Lbottom</t>
  </si>
  <si>
    <t>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</si>
</sst>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0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/>
    <xf numFmtId="0" fontId="0" fillId="2" borderId="8" xfId="0" applyFill="1" applyBorder="1"/>
    <xf numFmtId="2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0" fillId="0" borderId="10" xfId="0" applyBorder="1"/>
    <xf numFmtId="0" fontId="0" fillId="2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DA6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6</xdr:row>
      <xdr:rowOff>104775</xdr:rowOff>
    </xdr:from>
    <xdr:to>
      <xdr:col>11</xdr:col>
      <xdr:colOff>295275</xdr:colOff>
      <xdr:row>35</xdr:row>
      <xdr:rowOff>114300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2C6F5ED9-B402-DDE0-9673-62A8BB308A70}"/>
            </a:ext>
          </a:extLst>
        </xdr:cNvPr>
        <xdr:cNvGrpSpPr/>
      </xdr:nvGrpSpPr>
      <xdr:grpSpPr>
        <a:xfrm>
          <a:off x="5938838" y="942975"/>
          <a:ext cx="600075" cy="4805363"/>
          <a:chOff x="5938838" y="1276350"/>
          <a:chExt cx="600075" cy="4791075"/>
        </a:xfrm>
      </xdr:grpSpPr>
      <xdr:sp macro="" textlink="">
        <xdr:nvSpPr>
          <xdr:cNvPr id="3" name="Flowchart: Alternate Process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 bwMode="auto">
          <a:xfrm>
            <a:off x="5938838" y="1276350"/>
            <a:ext cx="600075" cy="4791075"/>
          </a:xfrm>
          <a:prstGeom prst="flowChartAlternateProcess">
            <a:avLst/>
          </a:prstGeom>
          <a:solidFill>
            <a:srgbClr xmlns:mc="http://schemas.openxmlformats.org/markup-compatibility/2006" xmlns:a14="http://schemas.microsoft.com/office/drawing/2010/main" val="E6E6E6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n-GB" sz="1100"/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C02133AF-423C-7D34-6E70-262CA29050E1}"/>
              </a:ext>
            </a:extLst>
          </xdr:cNvPr>
          <xdr:cNvCxnSpPr/>
        </xdr:nvCxnSpPr>
        <xdr:spPr bwMode="auto">
          <a:xfrm>
            <a:off x="5938838" y="2205038"/>
            <a:ext cx="50482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E6E6E6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C459C5DF-6AAF-4886-B9A0-8448C85837D3}"/>
              </a:ext>
            </a:extLst>
          </xdr:cNvPr>
          <xdr:cNvCxnSpPr/>
        </xdr:nvCxnSpPr>
        <xdr:spPr bwMode="auto">
          <a:xfrm>
            <a:off x="6029325" y="2038350"/>
            <a:ext cx="50482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E6E6E6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E85E69FE-442F-4C87-88E6-4DEFCF3F1895}"/>
              </a:ext>
            </a:extLst>
          </xdr:cNvPr>
          <xdr:cNvCxnSpPr/>
        </xdr:nvCxnSpPr>
        <xdr:spPr bwMode="auto">
          <a:xfrm>
            <a:off x="6034088" y="5305426"/>
            <a:ext cx="50482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E6E6E6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94194B86-B979-4C59-9FEF-9A0E670D8300}"/>
              </a:ext>
            </a:extLst>
          </xdr:cNvPr>
          <xdr:cNvCxnSpPr/>
        </xdr:nvCxnSpPr>
        <xdr:spPr bwMode="auto">
          <a:xfrm>
            <a:off x="5953125" y="5143500"/>
            <a:ext cx="50482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E6E6E6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333375</xdr:colOff>
      <xdr:row>15</xdr:row>
      <xdr:rowOff>85725</xdr:rowOff>
    </xdr:from>
    <xdr:to>
      <xdr:col>5</xdr:col>
      <xdr:colOff>285750</xdr:colOff>
      <xdr:row>26</xdr:row>
      <xdr:rowOff>57150</xdr:rowOff>
    </xdr:to>
    <xdr:sp macro="" textlink="">
      <xdr:nvSpPr>
        <xdr:cNvPr id="2" name="Flowchart: Alternate Proces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476625" y="2838450"/>
          <a:ext cx="561975" cy="175260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600075</xdr:colOff>
      <xdr:row>20</xdr:row>
      <xdr:rowOff>152400</xdr:rowOff>
    </xdr:from>
    <xdr:to>
      <xdr:col>4</xdr:col>
      <xdr:colOff>333375</xdr:colOff>
      <xdr:row>21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>
          <a:endCxn id="2" idx="1"/>
        </xdr:cNvCxnSpPr>
      </xdr:nvCxnSpPr>
      <xdr:spPr bwMode="auto">
        <a:xfrm flipV="1">
          <a:off x="3133725" y="3714750"/>
          <a:ext cx="342900" cy="95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295275</xdr:colOff>
      <xdr:row>21</xdr:row>
      <xdr:rowOff>9525</xdr:rowOff>
    </xdr:from>
    <xdr:to>
      <xdr:col>12</xdr:col>
      <xdr:colOff>704850</xdr:colOff>
      <xdr:row>21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>
          <a:stCxn id="3" idx="3"/>
        </xdr:cNvCxnSpPr>
      </xdr:nvCxnSpPr>
      <xdr:spPr bwMode="auto">
        <a:xfrm flipV="1">
          <a:off x="6524625" y="3571875"/>
          <a:ext cx="1019175" cy="190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300037</xdr:colOff>
      <xdr:row>7</xdr:row>
      <xdr:rowOff>114300</xdr:rowOff>
    </xdr:from>
    <xdr:to>
      <xdr:col>12</xdr:col>
      <xdr:colOff>747712</xdr:colOff>
      <xdr:row>7</xdr:row>
      <xdr:rowOff>128588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 bwMode="auto">
        <a:xfrm flipV="1">
          <a:off x="6543675" y="1443038"/>
          <a:ext cx="1095375" cy="1428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57150</xdr:colOff>
      <xdr:row>8</xdr:row>
      <xdr:rowOff>133350</xdr:rowOff>
    </xdr:from>
    <xdr:to>
      <xdr:col>10</xdr:col>
      <xdr:colOff>338137</xdr:colOff>
      <xdr:row>12</xdr:row>
      <xdr:rowOff>14288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 bwMode="auto">
        <a:xfrm>
          <a:off x="5029200" y="1638300"/>
          <a:ext cx="904875" cy="538163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600075</xdr:colOff>
      <xdr:row>8</xdr:row>
      <xdr:rowOff>152400</xdr:rowOff>
    </xdr:from>
    <xdr:to>
      <xdr:col>6</xdr:col>
      <xdr:colOff>590550</xdr:colOff>
      <xdr:row>15</xdr:row>
      <xdr:rowOff>76202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 bwMode="auto">
        <a:xfrm flipV="1">
          <a:off x="2524125" y="1609725"/>
          <a:ext cx="1209675" cy="1057277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19050</xdr:colOff>
      <xdr:row>29</xdr:row>
      <xdr:rowOff>114300</xdr:rowOff>
    </xdr:from>
    <xdr:to>
      <xdr:col>10</xdr:col>
      <xdr:colOff>347662</xdr:colOff>
      <xdr:row>34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 bwMode="auto">
        <a:xfrm flipV="1">
          <a:off x="4991100" y="5081588"/>
          <a:ext cx="952500" cy="747712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590550</xdr:colOff>
      <xdr:row>26</xdr:row>
      <xdr:rowOff>57151</xdr:rowOff>
    </xdr:from>
    <xdr:to>
      <xdr:col>6</xdr:col>
      <xdr:colOff>600075</xdr:colOff>
      <xdr:row>34</xdr:row>
      <xdr:rowOff>57150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 bwMode="auto">
        <a:xfrm>
          <a:off x="2514600" y="4429126"/>
          <a:ext cx="1228725" cy="1295399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0</xdr:colOff>
      <xdr:row>37</xdr:row>
      <xdr:rowOff>95250</xdr:rowOff>
    </xdr:from>
    <xdr:to>
      <xdr:col>12</xdr:col>
      <xdr:colOff>738188</xdr:colOff>
      <xdr:row>37</xdr:row>
      <xdr:rowOff>109538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 bwMode="auto">
        <a:xfrm>
          <a:off x="6243638" y="6229350"/>
          <a:ext cx="1385888" cy="1428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28575</xdr:colOff>
      <xdr:row>10</xdr:row>
      <xdr:rowOff>152400</xdr:rowOff>
    </xdr:from>
    <xdr:to>
      <xdr:col>11</xdr:col>
      <xdr:colOff>285750</xdr:colOff>
      <xdr:row>16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 bwMode="auto">
        <a:xfrm flipH="1">
          <a:off x="5000625" y="1981200"/>
          <a:ext cx="1528763" cy="9239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295275</xdr:colOff>
      <xdr:row>15</xdr:row>
      <xdr:rowOff>152400</xdr:rowOff>
    </xdr:from>
    <xdr:to>
      <xdr:col>7</xdr:col>
      <xdr:colOff>0</xdr:colOff>
      <xdr:row>16</xdr:row>
      <xdr:rowOff>57153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 bwMode="auto">
        <a:xfrm flipH="1" flipV="1">
          <a:off x="2828925" y="2743200"/>
          <a:ext cx="923925" cy="6667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28575</xdr:colOff>
      <xdr:row>26</xdr:row>
      <xdr:rowOff>133350</xdr:rowOff>
    </xdr:from>
    <xdr:to>
      <xdr:col>11</xdr:col>
      <xdr:colOff>300037</xdr:colOff>
      <xdr:row>30</xdr:row>
      <xdr:rowOff>133350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 bwMode="auto">
        <a:xfrm flipH="1" flipV="1">
          <a:off x="5000625" y="4610100"/>
          <a:ext cx="1543050" cy="6572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285750</xdr:colOff>
      <xdr:row>25</xdr:row>
      <xdr:rowOff>123825</xdr:rowOff>
    </xdr:from>
    <xdr:to>
      <xdr:col>6</xdr:col>
      <xdr:colOff>600075</xdr:colOff>
      <xdr:row>26</xdr:row>
      <xdr:rowOff>152401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 bwMode="auto">
        <a:xfrm flipH="1" flipV="1">
          <a:off x="2819400" y="4333875"/>
          <a:ext cx="923925" cy="19050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228600</xdr:colOff>
      <xdr:row>5</xdr:row>
      <xdr:rowOff>90488</xdr:rowOff>
    </xdr:from>
    <xdr:to>
      <xdr:col>12</xdr:col>
      <xdr:colOff>228600</xdr:colOff>
      <xdr:row>7</xdr:row>
      <xdr:rowOff>114300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848772B-DE8E-442E-87AE-8B7CC9728D0A}"/>
            </a:ext>
          </a:extLst>
        </xdr:cNvPr>
        <xdr:cNvCxnSpPr>
          <a:stCxn id="34" idx="4"/>
        </xdr:cNvCxnSpPr>
      </xdr:nvCxnSpPr>
      <xdr:spPr bwMode="auto">
        <a:xfrm>
          <a:off x="7119938" y="1085851"/>
          <a:ext cx="0" cy="357187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290512</xdr:colOff>
      <xdr:row>7</xdr:row>
      <xdr:rowOff>119062</xdr:rowOff>
    </xdr:from>
    <xdr:to>
      <xdr:col>11</xdr:col>
      <xdr:colOff>495300</xdr:colOff>
      <xdr:row>7</xdr:row>
      <xdr:rowOff>128587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60F87794-31DB-45BA-BF18-03E21FACB3AE}"/>
            </a:ext>
          </a:extLst>
        </xdr:cNvPr>
        <xdr:cNvCxnSpPr/>
      </xdr:nvCxnSpPr>
      <xdr:spPr bwMode="auto">
        <a:xfrm flipH="1">
          <a:off x="6534150" y="1447800"/>
          <a:ext cx="204788" cy="95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638175</xdr:colOff>
      <xdr:row>2</xdr:row>
      <xdr:rowOff>104776</xdr:rowOff>
    </xdr:from>
    <xdr:to>
      <xdr:col>12</xdr:col>
      <xdr:colOff>466725</xdr:colOff>
      <xdr:row>5</xdr:row>
      <xdr:rowOff>90488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8865C32B-1611-648F-1EFF-8CED1ED372EF}"/>
            </a:ext>
          </a:extLst>
        </xdr:cNvPr>
        <xdr:cNvSpPr/>
      </xdr:nvSpPr>
      <xdr:spPr bwMode="auto">
        <a:xfrm>
          <a:off x="6881813" y="609601"/>
          <a:ext cx="476250" cy="476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633412</xdr:colOff>
      <xdr:row>4</xdr:row>
      <xdr:rowOff>9525</xdr:rowOff>
    </xdr:from>
    <xdr:to>
      <xdr:col>11</xdr:col>
      <xdr:colOff>638175</xdr:colOff>
      <xdr:row>4</xdr:row>
      <xdr:rowOff>19051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585D2B46-4EA4-4BBD-B281-B9ED00875C65}"/>
            </a:ext>
          </a:extLst>
        </xdr:cNvPr>
        <xdr:cNvCxnSpPr>
          <a:endCxn id="34" idx="2"/>
        </xdr:cNvCxnSpPr>
      </xdr:nvCxnSpPr>
      <xdr:spPr bwMode="auto">
        <a:xfrm>
          <a:off x="6229350" y="838200"/>
          <a:ext cx="652463" cy="952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638175</xdr:colOff>
      <xdr:row>4</xdr:row>
      <xdr:rowOff>0</xdr:rowOff>
    </xdr:from>
    <xdr:to>
      <xdr:col>10</xdr:col>
      <xdr:colOff>642938</xdr:colOff>
      <xdr:row>6</xdr:row>
      <xdr:rowOff>104775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18577D06-9FF6-E57F-A332-2BF8EAAB1D86}"/>
            </a:ext>
          </a:extLst>
        </xdr:cNvPr>
        <xdr:cNvCxnSpPr>
          <a:stCxn id="3" idx="0"/>
        </xdr:cNvCxnSpPr>
      </xdr:nvCxnSpPr>
      <xdr:spPr bwMode="auto">
        <a:xfrm flipH="1" flipV="1">
          <a:off x="6234113" y="828675"/>
          <a:ext cx="4763" cy="4381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600075</xdr:colOff>
      <xdr:row>33</xdr:row>
      <xdr:rowOff>100013</xdr:rowOff>
    </xdr:from>
    <xdr:to>
      <xdr:col>12</xdr:col>
      <xdr:colOff>428625</xdr:colOff>
      <xdr:row>36</xdr:row>
      <xdr:rowOff>85725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B1DDA76F-B883-4E1D-9885-EEDC8E17C4E6}"/>
            </a:ext>
          </a:extLst>
        </xdr:cNvPr>
        <xdr:cNvSpPr/>
      </xdr:nvSpPr>
      <xdr:spPr bwMode="auto">
        <a:xfrm>
          <a:off x="6843713" y="5567363"/>
          <a:ext cx="476250" cy="476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642938</xdr:colOff>
      <xdr:row>35</xdr:row>
      <xdr:rowOff>114300</xdr:rowOff>
    </xdr:from>
    <xdr:to>
      <xdr:col>11</xdr:col>
      <xdr:colOff>0</xdr:colOff>
      <xdr:row>37</xdr:row>
      <xdr:rowOff>104775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1A00FC64-959E-449F-9ACD-E445B4F5AFE7}"/>
            </a:ext>
          </a:extLst>
        </xdr:cNvPr>
        <xdr:cNvCxnSpPr>
          <a:endCxn id="3" idx="2"/>
        </xdr:cNvCxnSpPr>
      </xdr:nvCxnSpPr>
      <xdr:spPr bwMode="auto">
        <a:xfrm flipH="1" flipV="1">
          <a:off x="6238876" y="5910263"/>
          <a:ext cx="4762" cy="32861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190500</xdr:colOff>
      <xdr:row>36</xdr:row>
      <xdr:rowOff>85725</xdr:rowOff>
    </xdr:from>
    <xdr:to>
      <xdr:col>12</xdr:col>
      <xdr:colOff>190500</xdr:colOff>
      <xdr:row>37</xdr:row>
      <xdr:rowOff>95250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975EA25B-D420-4212-9DD3-10566A98C7B0}"/>
            </a:ext>
          </a:extLst>
        </xdr:cNvPr>
        <xdr:cNvCxnSpPr>
          <a:endCxn id="45" idx="4"/>
        </xdr:cNvCxnSpPr>
      </xdr:nvCxnSpPr>
      <xdr:spPr bwMode="auto">
        <a:xfrm flipV="1">
          <a:off x="7081838" y="6053138"/>
          <a:ext cx="0" cy="176212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285750</xdr:colOff>
      <xdr:row>35</xdr:row>
      <xdr:rowOff>14287</xdr:rowOff>
    </xdr:from>
    <xdr:to>
      <xdr:col>11</xdr:col>
      <xdr:colOff>600075</xdr:colOff>
      <xdr:row>35</xdr:row>
      <xdr:rowOff>14288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A7A47ADC-698A-408F-8D29-F626953EF29A}"/>
            </a:ext>
          </a:extLst>
        </xdr:cNvPr>
        <xdr:cNvCxnSpPr>
          <a:stCxn id="45" idx="2"/>
        </xdr:cNvCxnSpPr>
      </xdr:nvCxnSpPr>
      <xdr:spPr bwMode="auto">
        <a:xfrm flipH="1" flipV="1">
          <a:off x="6529388" y="5810250"/>
          <a:ext cx="314325" cy="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71438</xdr:colOff>
      <xdr:row>7</xdr:row>
      <xdr:rowOff>19048</xdr:rowOff>
    </xdr:from>
    <xdr:to>
      <xdr:col>17</xdr:col>
      <xdr:colOff>23813</xdr:colOff>
      <xdr:row>36</xdr:row>
      <xdr:rowOff>23811</xdr:rowOff>
    </xdr:to>
    <xdr:sp macro="" textlink="">
      <xdr:nvSpPr>
        <xdr:cNvPr id="8" name="Flowchart: Alternate Process 7">
          <a:extLst>
            <a:ext uri="{FF2B5EF4-FFF2-40B4-BE49-F238E27FC236}">
              <a16:creationId xmlns:a16="http://schemas.microsoft.com/office/drawing/2014/main" id="{A7662CA3-C834-9483-3144-903982386428}"/>
            </a:ext>
          </a:extLst>
        </xdr:cNvPr>
        <xdr:cNvSpPr/>
      </xdr:nvSpPr>
      <xdr:spPr bwMode="auto">
        <a:xfrm>
          <a:off x="9920288" y="1023936"/>
          <a:ext cx="600075" cy="4805363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17</xdr:col>
      <xdr:colOff>28575</xdr:colOff>
      <xdr:row>8</xdr:row>
      <xdr:rowOff>28574</xdr:rowOff>
    </xdr:from>
    <xdr:to>
      <xdr:col>18</xdr:col>
      <xdr:colOff>476250</xdr:colOff>
      <xdr:row>8</xdr:row>
      <xdr:rowOff>42862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5DCF12A-B87A-40AF-8C53-B55C6FE9EC74}"/>
            </a:ext>
          </a:extLst>
        </xdr:cNvPr>
        <xdr:cNvCxnSpPr/>
      </xdr:nvCxnSpPr>
      <xdr:spPr bwMode="auto">
        <a:xfrm flipV="1">
          <a:off x="10525125" y="1200149"/>
          <a:ext cx="1095375" cy="1428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376238</xdr:colOff>
      <xdr:row>38</xdr:row>
      <xdr:rowOff>14286</xdr:rowOff>
    </xdr:from>
    <xdr:to>
      <xdr:col>18</xdr:col>
      <xdr:colOff>466726</xdr:colOff>
      <xdr:row>38</xdr:row>
      <xdr:rowOff>28574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35AD266E-93FA-4876-8D6C-5B7F2833922E}"/>
            </a:ext>
          </a:extLst>
        </xdr:cNvPr>
        <xdr:cNvCxnSpPr/>
      </xdr:nvCxnSpPr>
      <xdr:spPr bwMode="auto">
        <a:xfrm>
          <a:off x="10225088" y="6148386"/>
          <a:ext cx="1385888" cy="1428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604838</xdr:colOff>
      <xdr:row>6</xdr:row>
      <xdr:rowOff>4762</xdr:rowOff>
    </xdr:from>
    <xdr:to>
      <xdr:col>17</xdr:col>
      <xdr:colOff>604838</xdr:colOff>
      <xdr:row>8</xdr:row>
      <xdr:rowOff>28574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41C8D5F9-236E-480D-8755-1BA04BD8EB2A}"/>
            </a:ext>
          </a:extLst>
        </xdr:cNvPr>
        <xdr:cNvCxnSpPr>
          <a:stCxn id="33" idx="4"/>
        </xdr:cNvCxnSpPr>
      </xdr:nvCxnSpPr>
      <xdr:spPr bwMode="auto">
        <a:xfrm>
          <a:off x="11101388" y="842962"/>
          <a:ext cx="0" cy="357187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19050</xdr:colOff>
      <xdr:row>8</xdr:row>
      <xdr:rowOff>33336</xdr:rowOff>
    </xdr:from>
    <xdr:to>
      <xdr:col>17</xdr:col>
      <xdr:colOff>223838</xdr:colOff>
      <xdr:row>8</xdr:row>
      <xdr:rowOff>42861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6BA5A0B-5A46-4B05-9F14-2B9445C1A7A7}"/>
            </a:ext>
          </a:extLst>
        </xdr:cNvPr>
        <xdr:cNvCxnSpPr/>
      </xdr:nvCxnSpPr>
      <xdr:spPr bwMode="auto">
        <a:xfrm flipH="1">
          <a:off x="10515600" y="1204911"/>
          <a:ext cx="204788" cy="95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366713</xdr:colOff>
      <xdr:row>3</xdr:row>
      <xdr:rowOff>23812</xdr:rowOff>
    </xdr:from>
    <xdr:to>
      <xdr:col>18</xdr:col>
      <xdr:colOff>195263</xdr:colOff>
      <xdr:row>6</xdr:row>
      <xdr:rowOff>4762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17FDB1D0-917D-46E1-A68A-451E95C41FBF}"/>
            </a:ext>
          </a:extLst>
        </xdr:cNvPr>
        <xdr:cNvSpPr/>
      </xdr:nvSpPr>
      <xdr:spPr bwMode="auto">
        <a:xfrm>
          <a:off x="10863263" y="366712"/>
          <a:ext cx="476250" cy="476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361950</xdr:colOff>
      <xdr:row>4</xdr:row>
      <xdr:rowOff>90486</xdr:rowOff>
    </xdr:from>
    <xdr:to>
      <xdr:col>17</xdr:col>
      <xdr:colOff>366713</xdr:colOff>
      <xdr:row>4</xdr:row>
      <xdr:rowOff>100012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3E4D3CCF-8F74-4E5F-AE39-7056CEA5E4A2}"/>
            </a:ext>
          </a:extLst>
        </xdr:cNvPr>
        <xdr:cNvCxnSpPr>
          <a:endCxn id="33" idx="2"/>
        </xdr:cNvCxnSpPr>
      </xdr:nvCxnSpPr>
      <xdr:spPr bwMode="auto">
        <a:xfrm>
          <a:off x="10210800" y="595311"/>
          <a:ext cx="652463" cy="952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366713</xdr:colOff>
      <xdr:row>4</xdr:row>
      <xdr:rowOff>80961</xdr:rowOff>
    </xdr:from>
    <xdr:to>
      <xdr:col>16</xdr:col>
      <xdr:colOff>371476</xdr:colOff>
      <xdr:row>7</xdr:row>
      <xdr:rowOff>19048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7D44C378-3927-4E7F-B89F-59F6A3ADF686}"/>
            </a:ext>
          </a:extLst>
        </xdr:cNvPr>
        <xdr:cNvCxnSpPr>
          <a:stCxn id="8" idx="0"/>
        </xdr:cNvCxnSpPr>
      </xdr:nvCxnSpPr>
      <xdr:spPr bwMode="auto">
        <a:xfrm flipH="1" flipV="1">
          <a:off x="10215563" y="585786"/>
          <a:ext cx="4763" cy="4381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328613</xdr:colOff>
      <xdr:row>34</xdr:row>
      <xdr:rowOff>19049</xdr:rowOff>
    </xdr:from>
    <xdr:to>
      <xdr:col>18</xdr:col>
      <xdr:colOff>157163</xdr:colOff>
      <xdr:row>36</xdr:row>
      <xdr:rowOff>166686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EFD66BB8-AD28-4E2A-9FAA-E4C6D496A157}"/>
            </a:ext>
          </a:extLst>
        </xdr:cNvPr>
        <xdr:cNvSpPr/>
      </xdr:nvSpPr>
      <xdr:spPr bwMode="auto">
        <a:xfrm>
          <a:off x="10825163" y="5486399"/>
          <a:ext cx="476250" cy="485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371476</xdr:colOff>
      <xdr:row>36</xdr:row>
      <xdr:rowOff>23811</xdr:rowOff>
    </xdr:from>
    <xdr:to>
      <xdr:col>16</xdr:col>
      <xdr:colOff>376238</xdr:colOff>
      <xdr:row>38</xdr:row>
      <xdr:rowOff>23811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71D4BE38-0885-453A-B8F9-F44F432DCD4D}"/>
            </a:ext>
          </a:extLst>
        </xdr:cNvPr>
        <xdr:cNvCxnSpPr>
          <a:endCxn id="8" idx="2"/>
        </xdr:cNvCxnSpPr>
      </xdr:nvCxnSpPr>
      <xdr:spPr bwMode="auto">
        <a:xfrm flipH="1" flipV="1">
          <a:off x="10220326" y="5829299"/>
          <a:ext cx="4762" cy="32861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566738</xdr:colOff>
      <xdr:row>36</xdr:row>
      <xdr:rowOff>166686</xdr:rowOff>
    </xdr:from>
    <xdr:to>
      <xdr:col>17</xdr:col>
      <xdr:colOff>566738</xdr:colOff>
      <xdr:row>38</xdr:row>
      <xdr:rowOff>14286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837EE388-284F-4A2D-9D3E-382088540503}"/>
            </a:ext>
          </a:extLst>
        </xdr:cNvPr>
        <xdr:cNvCxnSpPr>
          <a:endCxn id="38" idx="4"/>
        </xdr:cNvCxnSpPr>
      </xdr:nvCxnSpPr>
      <xdr:spPr bwMode="auto">
        <a:xfrm flipV="1">
          <a:off x="11063288" y="5972174"/>
          <a:ext cx="0" cy="176212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14288</xdr:colOff>
      <xdr:row>35</xdr:row>
      <xdr:rowOff>95248</xdr:rowOff>
    </xdr:from>
    <xdr:to>
      <xdr:col>17</xdr:col>
      <xdr:colOff>328613</xdr:colOff>
      <xdr:row>35</xdr:row>
      <xdr:rowOff>95249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3178B2C6-96B2-48A9-BA0B-02938485583A}"/>
            </a:ext>
          </a:extLst>
        </xdr:cNvPr>
        <xdr:cNvCxnSpPr>
          <a:stCxn id="38" idx="2"/>
        </xdr:cNvCxnSpPr>
      </xdr:nvCxnSpPr>
      <xdr:spPr bwMode="auto">
        <a:xfrm flipH="1" flipV="1">
          <a:off x="10510838" y="5729286"/>
          <a:ext cx="314325" cy="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4763</xdr:colOff>
      <xdr:row>20</xdr:row>
      <xdr:rowOff>133350</xdr:rowOff>
    </xdr:from>
    <xdr:to>
      <xdr:col>16</xdr:col>
      <xdr:colOff>66676</xdr:colOff>
      <xdr:row>37</xdr:row>
      <xdr:rowOff>19050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760BB647-B874-4942-B841-D9139A4FE7AB}"/>
            </a:ext>
          </a:extLst>
        </xdr:cNvPr>
        <xdr:cNvCxnSpPr/>
      </xdr:nvCxnSpPr>
      <xdr:spPr bwMode="auto">
        <a:xfrm flipV="1">
          <a:off x="9063038" y="3295650"/>
          <a:ext cx="690563" cy="26955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E6E6E6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42"/>
  <sheetViews>
    <sheetView tabSelected="1" workbookViewId="0"/>
  </sheetViews>
  <sheetFormatPr defaultRowHeight="12.75" x14ac:dyDescent="0.35"/>
  <cols>
    <col min="1" max="1" width="1.3984375" customWidth="1"/>
    <col min="2" max="2" width="2" customWidth="1"/>
    <col min="3" max="3" width="10.59765625" customWidth="1"/>
    <col min="8" max="8" width="10.59765625" customWidth="1"/>
    <col min="9" max="10" width="8.73046875" customWidth="1"/>
    <col min="13" max="13" width="10.86328125" customWidth="1"/>
    <col min="14" max="14" width="10.3984375" bestFit="1" customWidth="1"/>
    <col min="16" max="16" width="8.796875" customWidth="1"/>
    <col min="20" max="20" width="11.86328125" customWidth="1"/>
    <col min="22" max="22" width="2.06640625" customWidth="1"/>
  </cols>
  <sheetData>
    <row r="1" spans="2:22" ht="5.25" customHeight="1" thickBot="1" x14ac:dyDescent="0.4">
      <c r="P1" s="45"/>
      <c r="Q1" s="45"/>
      <c r="R1" s="45"/>
      <c r="S1" s="45"/>
      <c r="T1" s="45"/>
      <c r="U1" s="45"/>
      <c r="V1" s="45"/>
    </row>
    <row r="2" spans="2:22" ht="9" customHeight="1" x14ac:dyDescent="0.35"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4"/>
      <c r="Q2" s="44"/>
      <c r="R2" s="44"/>
      <c r="S2" s="44"/>
      <c r="T2" s="44"/>
      <c r="U2" s="44"/>
      <c r="V2" s="34"/>
    </row>
    <row r="3" spans="2:22" x14ac:dyDescent="0.35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44"/>
      <c r="Q3" s="44"/>
      <c r="R3" s="44"/>
      <c r="S3" s="44"/>
      <c r="T3" s="44"/>
      <c r="U3" s="44"/>
      <c r="V3" s="37"/>
    </row>
    <row r="4" spans="2:22" x14ac:dyDescent="0.35">
      <c r="B4" s="35"/>
      <c r="C4" s="36"/>
      <c r="D4" s="36"/>
      <c r="E4" s="36"/>
      <c r="F4" s="36"/>
      <c r="G4" s="36"/>
      <c r="H4" s="36"/>
      <c r="I4" s="36"/>
      <c r="J4" s="36"/>
      <c r="K4" s="4" t="s">
        <v>21</v>
      </c>
      <c r="L4" s="38">
        <f>'2Top'!K39</f>
        <v>5.1118918283649624</v>
      </c>
      <c r="M4" s="36"/>
      <c r="N4" s="36"/>
      <c r="O4" s="36"/>
      <c r="P4" s="44"/>
      <c r="Q4" s="4" t="s">
        <v>21</v>
      </c>
      <c r="R4" s="38">
        <f>Final!I38</f>
        <v>8.731129059250879</v>
      </c>
      <c r="S4" s="44"/>
      <c r="T4" s="44"/>
      <c r="U4" s="44"/>
      <c r="V4" s="37"/>
    </row>
    <row r="5" spans="2:22" ht="13.15" thickBot="1" x14ac:dyDescent="0.4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10" t="str">
        <f>'2Top'!B19</f>
        <v>Component</v>
      </c>
      <c r="O5" s="10" t="s">
        <v>58</v>
      </c>
      <c r="P5" s="44"/>
      <c r="Q5" s="36"/>
      <c r="R5" s="36"/>
      <c r="S5" s="36"/>
      <c r="T5" s="10" t="str">
        <f>Final!B35</f>
        <v>Component</v>
      </c>
      <c r="U5" s="10" t="s">
        <v>58</v>
      </c>
      <c r="V5" s="46"/>
    </row>
    <row r="6" spans="2:22" ht="13.15" thickTop="1" x14ac:dyDescent="0.35"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11" t="str">
        <f>'2Top'!B20</f>
        <v>A</v>
      </c>
      <c r="O6" s="29">
        <f>'2Top'!I20</f>
        <v>58.805999999999983</v>
      </c>
      <c r="P6" s="44"/>
      <c r="Q6" s="36"/>
      <c r="R6" s="36"/>
      <c r="S6" s="36"/>
      <c r="T6" s="11" t="str">
        <f>Final!B36</f>
        <v>A</v>
      </c>
      <c r="U6" s="29">
        <f>Final!I20</f>
        <v>6.1836545395266285E-7</v>
      </c>
      <c r="V6" s="46"/>
    </row>
    <row r="7" spans="2:22" ht="13.15" thickBot="1" x14ac:dyDescent="0.4">
      <c r="B7" s="35"/>
      <c r="C7" s="36"/>
      <c r="D7" s="36"/>
      <c r="E7" s="36"/>
      <c r="F7" s="36"/>
      <c r="G7" s="36"/>
      <c r="H7" s="10" t="s">
        <v>38</v>
      </c>
      <c r="I7" s="10" t="s">
        <v>58</v>
      </c>
      <c r="J7" s="2"/>
      <c r="K7" s="36"/>
      <c r="L7" s="36"/>
      <c r="M7" s="2"/>
      <c r="N7" s="13" t="str">
        <f>'2Top'!B21</f>
        <v>B</v>
      </c>
      <c r="O7" s="30">
        <f>'2Top'!I21</f>
        <v>0.75000000000000011</v>
      </c>
      <c r="P7" s="44"/>
      <c r="Q7" s="36"/>
      <c r="R7" s="36"/>
      <c r="S7" s="36"/>
      <c r="T7" s="13" t="str">
        <f>Final!B37</f>
        <v>B</v>
      </c>
      <c r="U7" s="30">
        <f>Final!I21</f>
        <v>0.75</v>
      </c>
      <c r="V7" s="46"/>
    </row>
    <row r="8" spans="2:22" ht="13.15" thickTop="1" x14ac:dyDescent="0.35">
      <c r="B8" s="35"/>
      <c r="C8" s="36"/>
      <c r="D8" s="36"/>
      <c r="E8" s="36"/>
      <c r="F8" s="36"/>
      <c r="G8" s="36"/>
      <c r="H8" s="11" t="str">
        <f>Prefrac!B48</f>
        <v>A</v>
      </c>
      <c r="I8" s="29">
        <f>Prefrac!C48</f>
        <v>104.8346872057956</v>
      </c>
      <c r="J8" s="2"/>
      <c r="K8" s="36"/>
      <c r="L8" s="36"/>
      <c r="M8" s="2"/>
      <c r="N8" s="13" t="str">
        <f>'2Top'!B22</f>
        <v>C</v>
      </c>
      <c r="O8" s="30">
        <f>'2Top'!I22</f>
        <v>7.7295681747913245E-7</v>
      </c>
      <c r="P8" s="44"/>
      <c r="Q8" s="36"/>
      <c r="R8" s="36"/>
      <c r="S8" s="36"/>
      <c r="T8" s="13" t="str">
        <f>Final!B38</f>
        <v>C</v>
      </c>
      <c r="U8" s="30">
        <f>Final!I22</f>
        <v>72.772424999999998</v>
      </c>
      <c r="V8" s="46"/>
    </row>
    <row r="9" spans="2:22" ht="13.15" thickBot="1" x14ac:dyDescent="0.4">
      <c r="B9" s="35"/>
      <c r="C9" s="36"/>
      <c r="D9" s="36"/>
      <c r="E9" s="36"/>
      <c r="F9" s="36"/>
      <c r="G9" s="36"/>
      <c r="H9" s="13" t="str">
        <f>Prefrac!B49</f>
        <v>B</v>
      </c>
      <c r="I9" s="30">
        <f>Prefrac!C49</f>
        <v>132.367029300247</v>
      </c>
      <c r="J9" s="2"/>
      <c r="K9" s="36"/>
      <c r="L9" s="36"/>
      <c r="M9" s="36"/>
      <c r="N9" s="10" t="str">
        <f>'2Top'!B23</f>
        <v>D</v>
      </c>
      <c r="O9" s="31">
        <f>'2Top'!I23</f>
        <v>1.6390508423415991E-8</v>
      </c>
      <c r="P9" s="44"/>
      <c r="Q9" s="36"/>
      <c r="R9" s="36"/>
      <c r="S9" s="36"/>
      <c r="T9" s="10" t="str">
        <f>Final!B39</f>
        <v>D</v>
      </c>
      <c r="U9" s="31">
        <f>Final!I23</f>
        <v>0.14895168996524871</v>
      </c>
      <c r="V9" s="46"/>
    </row>
    <row r="10" spans="2:22" ht="13.15" thickTop="1" x14ac:dyDescent="0.35">
      <c r="B10" s="35"/>
      <c r="C10" s="36"/>
      <c r="D10" s="36"/>
      <c r="E10" s="36"/>
      <c r="F10" s="36"/>
      <c r="G10" s="36"/>
      <c r="H10" s="13" t="str">
        <f>Prefrac!B50</f>
        <v>C</v>
      </c>
      <c r="I10" s="30">
        <f>Prefrac!C50</f>
        <v>1.32367029300247</v>
      </c>
      <c r="J10" s="2"/>
      <c r="K10" s="36"/>
      <c r="L10" s="4" t="s">
        <v>26</v>
      </c>
      <c r="M10" s="39">
        <f>'2Top'!O40</f>
        <v>13</v>
      </c>
      <c r="N10" s="11" t="str">
        <f>'2Top'!B24</f>
        <v>Totals</v>
      </c>
      <c r="O10" s="29">
        <f>'2Top'!I24</f>
        <v>59.556000789347308</v>
      </c>
      <c r="P10" s="44"/>
      <c r="Q10" s="36"/>
      <c r="R10" s="36"/>
      <c r="S10" s="36"/>
      <c r="T10" s="11" t="str">
        <f>Final!B40</f>
        <v>Totals</v>
      </c>
      <c r="U10" s="29">
        <f>Final!I24</f>
        <v>73.67137730833069</v>
      </c>
      <c r="V10" s="46"/>
    </row>
    <row r="11" spans="2:22" ht="13.15" thickBot="1" x14ac:dyDescent="0.4">
      <c r="B11" s="35"/>
      <c r="C11" s="36"/>
      <c r="D11" s="36"/>
      <c r="E11" s="36"/>
      <c r="F11" s="36"/>
      <c r="G11" s="36"/>
      <c r="H11" s="10" t="str">
        <f>Prefrac!B51</f>
        <v>D</v>
      </c>
      <c r="I11" s="31">
        <f>Prefrac!C51</f>
        <v>0.12574098173020529</v>
      </c>
      <c r="J11" s="2"/>
      <c r="K11" s="36"/>
      <c r="L11" s="36"/>
      <c r="M11" s="36"/>
      <c r="N11" s="36"/>
      <c r="O11" s="36"/>
      <c r="P11" s="44"/>
      <c r="Q11" s="36"/>
      <c r="R11" s="36"/>
      <c r="S11" s="36"/>
      <c r="T11" s="36"/>
      <c r="U11" s="36"/>
      <c r="V11" s="37"/>
    </row>
    <row r="12" spans="2:22" ht="13.15" thickTop="1" x14ac:dyDescent="0.35">
      <c r="B12" s="35"/>
      <c r="C12" s="36"/>
      <c r="D12" s="36"/>
      <c r="E12" s="36"/>
      <c r="F12" s="36"/>
      <c r="G12" s="36"/>
      <c r="H12" s="11" t="str">
        <f>Prefrac!B52</f>
        <v>Totals</v>
      </c>
      <c r="I12" s="29">
        <f>Prefrac!C52</f>
        <v>238.65112778077528</v>
      </c>
      <c r="J12" s="2"/>
      <c r="K12" s="36"/>
      <c r="L12" s="36"/>
      <c r="M12" s="36"/>
      <c r="N12" s="36"/>
      <c r="O12" s="36"/>
      <c r="P12" s="44"/>
      <c r="Q12" s="36"/>
      <c r="R12" s="36"/>
      <c r="S12" s="36"/>
      <c r="T12" s="36"/>
      <c r="U12" s="36"/>
      <c r="V12" s="37"/>
    </row>
    <row r="13" spans="2:22" x14ac:dyDescent="0.35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44"/>
      <c r="Q13" s="36"/>
      <c r="R13" s="36"/>
      <c r="S13" s="36"/>
      <c r="T13" s="36"/>
      <c r="U13" s="36"/>
      <c r="V13" s="37"/>
    </row>
    <row r="14" spans="2:22" ht="13.15" thickBot="1" x14ac:dyDescent="0.4">
      <c r="B14" s="35"/>
      <c r="C14" s="36"/>
      <c r="D14" s="36"/>
      <c r="E14" s="36"/>
      <c r="F14" s="36"/>
      <c r="G14" s="36"/>
      <c r="H14" s="10" t="s">
        <v>38</v>
      </c>
      <c r="I14" s="10" t="s">
        <v>58</v>
      </c>
      <c r="J14" s="2"/>
      <c r="K14" s="36"/>
      <c r="L14" s="36"/>
      <c r="M14" s="36"/>
      <c r="N14" s="36"/>
      <c r="O14" s="36"/>
      <c r="P14" s="44"/>
      <c r="Q14" s="36"/>
      <c r="R14" s="36"/>
      <c r="S14" s="36"/>
      <c r="T14" s="36"/>
      <c r="U14" s="36"/>
      <c r="V14" s="37"/>
    </row>
    <row r="15" spans="2:22" ht="13.15" thickTop="1" x14ac:dyDescent="0.35">
      <c r="B15" s="35"/>
      <c r="C15" s="36"/>
      <c r="D15" s="36"/>
      <c r="E15" s="36"/>
      <c r="F15" s="36"/>
      <c r="G15" s="36"/>
      <c r="H15" s="11" t="str">
        <f>Prefrac!B48</f>
        <v>A</v>
      </c>
      <c r="I15" s="29">
        <f>Prefrac!D48</f>
        <v>45.434687205795619</v>
      </c>
      <c r="J15" s="2"/>
      <c r="K15" s="36"/>
      <c r="L15" s="36"/>
      <c r="M15" s="36"/>
      <c r="N15" s="36"/>
      <c r="O15" s="36"/>
      <c r="P15" s="44"/>
      <c r="Q15" s="36"/>
      <c r="R15" s="36"/>
      <c r="S15" s="36"/>
      <c r="T15" s="36"/>
      <c r="U15" s="36"/>
      <c r="V15" s="37"/>
    </row>
    <row r="16" spans="2:22" x14ac:dyDescent="0.35">
      <c r="B16" s="35"/>
      <c r="C16" s="36"/>
      <c r="D16" s="36"/>
      <c r="E16" s="36"/>
      <c r="F16" s="36"/>
      <c r="G16" s="36"/>
      <c r="H16" s="13" t="str">
        <f>Prefrac!B49</f>
        <v>B</v>
      </c>
      <c r="I16" s="30">
        <f>Prefrac!D49</f>
        <v>57.36702930024699</v>
      </c>
      <c r="J16" s="2"/>
      <c r="K16" s="36"/>
      <c r="L16" s="4" t="s">
        <v>27</v>
      </c>
      <c r="M16" s="39">
        <f>'2Top'!O41</f>
        <v>15</v>
      </c>
      <c r="N16" s="36"/>
      <c r="O16" s="36"/>
      <c r="P16" s="44"/>
      <c r="Q16" s="36"/>
      <c r="R16" s="4" t="s">
        <v>26</v>
      </c>
      <c r="S16" s="39">
        <f>Final!M40</f>
        <v>104</v>
      </c>
      <c r="T16" s="36"/>
      <c r="U16" s="36"/>
      <c r="V16" s="37"/>
    </row>
    <row r="17" spans="2:22" x14ac:dyDescent="0.35">
      <c r="B17" s="35"/>
      <c r="C17" s="36"/>
      <c r="D17" s="36"/>
      <c r="E17" s="36"/>
      <c r="F17" s="36"/>
      <c r="G17" s="36"/>
      <c r="H17" s="13" t="str">
        <f>Prefrac!B50</f>
        <v>C</v>
      </c>
      <c r="I17" s="30">
        <f>Prefrac!D50</f>
        <v>0.57367029300247008</v>
      </c>
      <c r="J17" s="2"/>
      <c r="K17" s="36"/>
      <c r="L17" s="36"/>
      <c r="M17" s="36"/>
      <c r="N17" s="36"/>
      <c r="O17" s="36"/>
      <c r="P17" s="44"/>
      <c r="Q17" s="36"/>
      <c r="R17" s="36"/>
      <c r="S17" s="36"/>
      <c r="T17" s="36"/>
      <c r="U17" s="36"/>
      <c r="V17" s="37"/>
    </row>
    <row r="18" spans="2:22" ht="13.15" thickBot="1" x14ac:dyDescent="0.4">
      <c r="B18" s="35"/>
      <c r="C18" s="36"/>
      <c r="D18" s="36"/>
      <c r="E18" s="36"/>
      <c r="F18" s="36"/>
      <c r="G18" s="36"/>
      <c r="H18" s="10" t="str">
        <f>Prefrac!B51</f>
        <v>D</v>
      </c>
      <c r="I18" s="31">
        <f>Prefrac!D51</f>
        <v>5.4495342392224026E-2</v>
      </c>
      <c r="J18" s="2"/>
      <c r="K18" s="36"/>
      <c r="L18" s="36"/>
      <c r="M18" s="36"/>
      <c r="N18" s="36"/>
      <c r="O18" s="36"/>
      <c r="P18" s="44"/>
      <c r="Q18" s="36"/>
      <c r="R18" s="36"/>
      <c r="S18" s="36"/>
      <c r="T18" s="36"/>
      <c r="U18" s="36"/>
      <c r="V18" s="37"/>
    </row>
    <row r="19" spans="2:22" ht="13.5" thickTop="1" thickBot="1" x14ac:dyDescent="0.4">
      <c r="B19" s="35"/>
      <c r="C19" s="10" t="str">
        <f>Prefrac!B6</f>
        <v>Component</v>
      </c>
      <c r="D19" s="10" t="s">
        <v>58</v>
      </c>
      <c r="E19" s="36"/>
      <c r="F19" s="4" t="s">
        <v>26</v>
      </c>
      <c r="G19" s="39">
        <f>Prefrac!M40</f>
        <v>8</v>
      </c>
      <c r="H19" s="11" t="str">
        <f>Prefrac!B52</f>
        <v>Totals</v>
      </c>
      <c r="I19" s="29">
        <f>Prefrac!D52</f>
        <v>103.4298821414373</v>
      </c>
      <c r="J19" s="2"/>
      <c r="K19" s="36"/>
      <c r="L19" s="36"/>
      <c r="M19" s="36"/>
      <c r="N19" s="10" t="str">
        <f>'2Top'!B6</f>
        <v>Component</v>
      </c>
      <c r="O19" s="10" t="s">
        <v>58</v>
      </c>
      <c r="P19" s="44"/>
      <c r="Q19" s="36"/>
      <c r="R19" s="36"/>
      <c r="S19" s="36"/>
      <c r="T19" s="36"/>
      <c r="U19" s="36"/>
      <c r="V19" s="37"/>
    </row>
    <row r="20" spans="2:22" ht="13.15" thickTop="1" x14ac:dyDescent="0.35">
      <c r="B20" s="35"/>
      <c r="C20" s="11" t="str">
        <f>Prefrac!B7</f>
        <v>A</v>
      </c>
      <c r="D20" s="11">
        <f>Prefrac!C7</f>
        <v>60</v>
      </c>
      <c r="E20" s="36"/>
      <c r="F20" s="36"/>
      <c r="G20" s="36"/>
      <c r="H20" s="36"/>
      <c r="I20" s="36"/>
      <c r="J20" s="36"/>
      <c r="K20" s="36"/>
      <c r="L20" s="36"/>
      <c r="M20" s="36"/>
      <c r="N20" s="11" t="str">
        <f>'2Top'!B7</f>
        <v>A</v>
      </c>
      <c r="O20" s="29">
        <f>'2Top'!K20+'2Bottom'!I20</f>
        <v>1.1939993816345487</v>
      </c>
      <c r="P20" s="44"/>
      <c r="Q20" s="36"/>
      <c r="R20" s="36"/>
      <c r="S20" s="36"/>
      <c r="T20" s="36"/>
      <c r="U20" s="36"/>
      <c r="V20" s="37"/>
    </row>
    <row r="21" spans="2:22" x14ac:dyDescent="0.35">
      <c r="B21" s="35"/>
      <c r="C21" s="13" t="str">
        <f>Prefrac!B8</f>
        <v>B</v>
      </c>
      <c r="D21" s="13">
        <f>Prefrac!C8</f>
        <v>150</v>
      </c>
      <c r="E21" s="36"/>
      <c r="F21" s="36"/>
      <c r="G21" s="36"/>
      <c r="H21" s="36"/>
      <c r="I21" s="36"/>
      <c r="J21" s="36"/>
      <c r="K21" s="36"/>
      <c r="L21" s="36"/>
      <c r="M21" s="36"/>
      <c r="N21" s="13" t="str">
        <f>'2Top'!B8</f>
        <v>B</v>
      </c>
      <c r="O21" s="30">
        <f>'2Top'!K21+'2Bottom'!I21</f>
        <v>148.5</v>
      </c>
      <c r="P21" s="44"/>
      <c r="Q21" s="36"/>
      <c r="R21" s="36"/>
      <c r="S21" s="36"/>
      <c r="T21" s="36"/>
      <c r="U21" s="36"/>
      <c r="V21" s="37"/>
    </row>
    <row r="22" spans="2:22" x14ac:dyDescent="0.35">
      <c r="B22" s="35"/>
      <c r="C22" s="13" t="str">
        <f>Prefrac!B9</f>
        <v>C</v>
      </c>
      <c r="D22" s="13">
        <f>Prefrac!C9</f>
        <v>75</v>
      </c>
      <c r="E22" s="36"/>
      <c r="F22" s="36"/>
      <c r="G22" s="36"/>
      <c r="H22" s="36"/>
      <c r="I22" s="36"/>
      <c r="J22" s="36"/>
      <c r="K22" s="36"/>
      <c r="L22" s="36"/>
      <c r="M22" s="36"/>
      <c r="N22" s="13" t="str">
        <f>'2Top'!B9</f>
        <v>C</v>
      </c>
      <c r="O22" s="30">
        <f>'2Top'!K22+'2Bottom'!I22</f>
        <v>1.4924992270431825</v>
      </c>
      <c r="P22" s="44"/>
      <c r="Q22" s="36"/>
      <c r="R22" s="36"/>
      <c r="S22" s="36"/>
      <c r="T22" s="36"/>
      <c r="U22" s="36"/>
      <c r="V22" s="37"/>
    </row>
    <row r="23" spans="2:22" ht="13.15" thickBot="1" x14ac:dyDescent="0.4">
      <c r="B23" s="35"/>
      <c r="C23" s="10" t="str">
        <f>Prefrac!B10</f>
        <v>D</v>
      </c>
      <c r="D23" s="10">
        <f>Prefrac!C10</f>
        <v>15</v>
      </c>
      <c r="E23" s="36"/>
      <c r="F23" s="36"/>
      <c r="G23" s="36"/>
      <c r="H23" s="36"/>
      <c r="I23" s="36"/>
      <c r="J23" s="36"/>
      <c r="K23" s="36"/>
      <c r="L23" s="36"/>
      <c r="M23" s="36"/>
      <c r="N23" s="10" t="str">
        <f>'2Top'!B10</f>
        <v>D</v>
      </c>
      <c r="O23" s="31">
        <f>'2Top'!K23+'2Bottom'!I23</f>
        <v>0.10483098708462624</v>
      </c>
      <c r="P23" s="44"/>
      <c r="Q23" s="36"/>
      <c r="R23" s="36"/>
      <c r="S23" s="36"/>
      <c r="T23" s="36"/>
      <c r="U23" s="36"/>
      <c r="V23" s="37"/>
    </row>
    <row r="24" spans="2:22" ht="13.15" thickTop="1" x14ac:dyDescent="0.35">
      <c r="B24" s="35"/>
      <c r="C24" s="11" t="str">
        <f>Prefrac!B11</f>
        <v>Totals</v>
      </c>
      <c r="D24" s="11">
        <f>Prefrac!C11</f>
        <v>300</v>
      </c>
      <c r="E24" s="36"/>
      <c r="F24" s="4" t="s">
        <v>27</v>
      </c>
      <c r="G24" s="39">
        <f>Prefrac!M41</f>
        <v>9</v>
      </c>
      <c r="H24" s="36"/>
      <c r="I24" s="36"/>
      <c r="J24" s="36"/>
      <c r="K24" s="36"/>
      <c r="L24" s="36"/>
      <c r="M24" s="36"/>
      <c r="N24" s="11" t="str">
        <f>'2Top'!B11</f>
        <v>Totals</v>
      </c>
      <c r="O24" s="29">
        <f>'2Top'!K24+'2Bottom'!I24</f>
        <v>151.29132959576236</v>
      </c>
      <c r="P24" s="44"/>
      <c r="Q24" s="36"/>
      <c r="R24" s="36"/>
      <c r="S24" s="36"/>
      <c r="T24" s="36"/>
      <c r="U24" s="36"/>
      <c r="V24" s="37"/>
    </row>
    <row r="25" spans="2:22" ht="13.15" thickBot="1" x14ac:dyDescent="0.4">
      <c r="B25" s="35"/>
      <c r="C25" s="36"/>
      <c r="D25" s="36"/>
      <c r="E25" s="36"/>
      <c r="F25" s="36"/>
      <c r="G25" s="36"/>
      <c r="H25" s="10" t="s">
        <v>38</v>
      </c>
      <c r="I25" s="10" t="s">
        <v>58</v>
      </c>
      <c r="J25" s="36"/>
      <c r="K25" s="36"/>
      <c r="L25" s="36"/>
      <c r="M25" s="36"/>
      <c r="N25" s="36"/>
      <c r="O25" s="36"/>
      <c r="P25" s="44"/>
      <c r="Q25" s="36"/>
      <c r="R25" s="36"/>
      <c r="S25" s="36"/>
      <c r="T25" s="36"/>
      <c r="U25" s="36"/>
      <c r="V25" s="37"/>
    </row>
    <row r="26" spans="2:22" ht="13.15" thickTop="1" x14ac:dyDescent="0.35">
      <c r="B26" s="35"/>
      <c r="C26" s="36"/>
      <c r="D26" s="36"/>
      <c r="E26" s="36"/>
      <c r="F26" s="36"/>
      <c r="G26" s="36"/>
      <c r="H26" s="11" t="str">
        <f>Prefrac!B48</f>
        <v>A</v>
      </c>
      <c r="I26" s="29">
        <f>Prefrac!E48</f>
        <v>0.86898749310274992</v>
      </c>
      <c r="J26" s="36"/>
      <c r="K26" s="36"/>
      <c r="L26" s="36"/>
      <c r="M26" s="36"/>
      <c r="N26" s="36"/>
      <c r="O26" s="36"/>
      <c r="P26" s="44"/>
      <c r="Q26" s="36"/>
      <c r="R26" s="36"/>
      <c r="S26" s="36"/>
      <c r="T26" s="36"/>
      <c r="U26" s="36"/>
      <c r="V26" s="37"/>
    </row>
    <row r="27" spans="2:22" x14ac:dyDescent="0.35">
      <c r="B27" s="35"/>
      <c r="C27" s="36"/>
      <c r="D27" s="36"/>
      <c r="E27" s="36"/>
      <c r="F27" s="36"/>
      <c r="G27" s="36"/>
      <c r="H27" s="13" t="str">
        <f>Prefrac!B49</f>
        <v>B</v>
      </c>
      <c r="I27" s="30">
        <f>Prefrac!E49</f>
        <v>108.62343663784348</v>
      </c>
      <c r="J27" s="36"/>
      <c r="K27" s="36"/>
      <c r="L27" s="4" t="s">
        <v>26</v>
      </c>
      <c r="M27" s="39">
        <f>'2Bottom'!O40</f>
        <v>7</v>
      </c>
      <c r="N27" s="36"/>
      <c r="O27" s="36"/>
      <c r="P27" s="44"/>
      <c r="Q27" s="36"/>
      <c r="R27" s="4" t="s">
        <v>27</v>
      </c>
      <c r="S27" s="39">
        <f>Final!M41</f>
        <v>54</v>
      </c>
      <c r="T27" s="36"/>
      <c r="U27" s="36"/>
      <c r="V27" s="37"/>
    </row>
    <row r="28" spans="2:22" x14ac:dyDescent="0.35">
      <c r="B28" s="35"/>
      <c r="C28" s="36"/>
      <c r="D28" s="36"/>
      <c r="E28" s="36"/>
      <c r="F28" s="36"/>
      <c r="G28" s="36"/>
      <c r="H28" s="13" t="str">
        <f>Prefrac!B50</f>
        <v>C</v>
      </c>
      <c r="I28" s="30">
        <f>Prefrac!E50</f>
        <v>107.53720227146505</v>
      </c>
      <c r="J28" s="2"/>
      <c r="K28" s="36"/>
      <c r="L28" s="36"/>
      <c r="M28" s="36"/>
      <c r="N28" s="36"/>
      <c r="O28" s="36"/>
      <c r="P28" s="44"/>
      <c r="Q28" s="36"/>
      <c r="R28" s="36"/>
      <c r="S28" s="36"/>
      <c r="T28" s="36"/>
      <c r="U28" s="36"/>
      <c r="V28" s="37"/>
    </row>
    <row r="29" spans="2:22" ht="13.15" thickBot="1" x14ac:dyDescent="0.4">
      <c r="B29" s="35"/>
      <c r="C29" s="36"/>
      <c r="D29" s="36"/>
      <c r="E29" s="36"/>
      <c r="F29" s="36"/>
      <c r="G29" s="36"/>
      <c r="H29" s="10" t="str">
        <f>Prefrac!B51</f>
        <v>D</v>
      </c>
      <c r="I29" s="31">
        <f>Prefrac!E51</f>
        <v>21.621501378364005</v>
      </c>
      <c r="J29" s="2"/>
      <c r="K29" s="36"/>
      <c r="L29" s="36"/>
      <c r="M29" s="36"/>
      <c r="N29" s="36"/>
      <c r="O29" s="36"/>
      <c r="P29" s="44"/>
      <c r="Q29" s="36"/>
      <c r="R29" s="36"/>
      <c r="S29" s="36"/>
      <c r="T29" s="36"/>
      <c r="U29" s="36"/>
      <c r="V29" s="37"/>
    </row>
    <row r="30" spans="2:22" ht="13.15" thickTop="1" x14ac:dyDescent="0.35">
      <c r="B30" s="35"/>
      <c r="C30" s="36"/>
      <c r="D30" s="36"/>
      <c r="E30" s="36"/>
      <c r="F30" s="36"/>
      <c r="G30" s="36"/>
      <c r="H30" s="11" t="str">
        <f>Prefrac!B52</f>
        <v>Totals</v>
      </c>
      <c r="I30" s="29">
        <f>Prefrac!E52</f>
        <v>238.65112778077528</v>
      </c>
      <c r="J30" s="2"/>
      <c r="K30" s="36"/>
      <c r="L30" s="36"/>
      <c r="M30" s="36"/>
      <c r="N30" s="36"/>
      <c r="O30" s="36"/>
      <c r="P30" s="44"/>
      <c r="Q30" s="36"/>
      <c r="R30" s="36"/>
      <c r="S30" s="36"/>
      <c r="T30" s="36"/>
      <c r="U30" s="36"/>
      <c r="V30" s="37"/>
    </row>
    <row r="31" spans="2:22" x14ac:dyDescent="0.35">
      <c r="B31" s="35"/>
      <c r="C31" s="36"/>
      <c r="D31" s="36"/>
      <c r="E31" s="36"/>
      <c r="F31" s="36"/>
      <c r="G31" s="36"/>
      <c r="H31" s="36"/>
      <c r="I31" s="36"/>
      <c r="J31" s="2"/>
      <c r="K31" s="36"/>
      <c r="L31" s="36"/>
      <c r="M31" s="36"/>
      <c r="N31" s="36"/>
      <c r="O31" s="36"/>
      <c r="P31" s="44"/>
      <c r="Q31" s="36"/>
      <c r="R31" s="36"/>
      <c r="S31" s="36"/>
      <c r="T31" s="36"/>
      <c r="U31" s="36"/>
      <c r="V31" s="37"/>
    </row>
    <row r="32" spans="2:22" ht="13.15" thickBot="1" x14ac:dyDescent="0.4">
      <c r="B32" s="35"/>
      <c r="C32" s="36"/>
      <c r="D32" s="36"/>
      <c r="E32" s="36"/>
      <c r="F32" s="36"/>
      <c r="G32" s="36"/>
      <c r="H32" s="10" t="s">
        <v>38</v>
      </c>
      <c r="I32" s="10" t="s">
        <v>58</v>
      </c>
      <c r="J32" s="2"/>
      <c r="K32" s="36"/>
      <c r="L32" s="36"/>
      <c r="M32" s="36"/>
      <c r="N32" s="36"/>
      <c r="O32" s="36"/>
      <c r="P32" s="44"/>
      <c r="Q32" s="36"/>
      <c r="R32" s="36"/>
      <c r="S32" s="36"/>
      <c r="T32" s="36"/>
      <c r="U32" s="36"/>
      <c r="V32" s="37"/>
    </row>
    <row r="33" spans="2:22" ht="13.15" thickTop="1" x14ac:dyDescent="0.35">
      <c r="B33" s="35"/>
      <c r="C33" s="36"/>
      <c r="D33" s="36"/>
      <c r="E33" s="36"/>
      <c r="F33" s="36"/>
      <c r="G33" s="36"/>
      <c r="H33" s="11" t="str">
        <f>Prefrac!B48</f>
        <v>A</v>
      </c>
      <c r="I33" s="29">
        <f>Prefrac!F48</f>
        <v>1.4689874931027513</v>
      </c>
      <c r="J33" s="2"/>
      <c r="K33" s="36"/>
      <c r="L33" s="4" t="s">
        <v>27</v>
      </c>
      <c r="M33" s="39">
        <f>'2Bottom'!O41</f>
        <v>8</v>
      </c>
      <c r="N33" s="36"/>
      <c r="O33" s="36"/>
      <c r="P33" s="44"/>
      <c r="Q33" s="36"/>
      <c r="R33" s="36"/>
      <c r="S33" s="36"/>
      <c r="T33" s="36"/>
      <c r="U33" s="36"/>
      <c r="V33" s="37"/>
    </row>
    <row r="34" spans="2:22" x14ac:dyDescent="0.35">
      <c r="B34" s="35"/>
      <c r="C34" s="36"/>
      <c r="D34" s="36"/>
      <c r="E34" s="36"/>
      <c r="F34" s="36"/>
      <c r="G34" s="36"/>
      <c r="H34" s="13" t="str">
        <f>Prefrac!B49</f>
        <v>B</v>
      </c>
      <c r="I34" s="30">
        <f>Prefrac!F49</f>
        <v>183.6234366378435</v>
      </c>
      <c r="J34" s="36"/>
      <c r="K34" s="36"/>
      <c r="L34" s="36"/>
      <c r="M34" s="36"/>
      <c r="N34" s="36"/>
      <c r="O34" s="36"/>
      <c r="P34" s="44"/>
      <c r="Q34" s="36"/>
      <c r="R34" s="36"/>
      <c r="S34" s="36"/>
      <c r="T34" s="36"/>
      <c r="U34" s="36"/>
      <c r="V34" s="37"/>
    </row>
    <row r="35" spans="2:22" ht="13.15" thickBot="1" x14ac:dyDescent="0.4">
      <c r="B35" s="35"/>
      <c r="C35" s="36"/>
      <c r="D35" s="36"/>
      <c r="E35" s="36"/>
      <c r="F35" s="36"/>
      <c r="G35" s="36"/>
      <c r="H35" s="13" t="str">
        <f>Prefrac!B50</f>
        <v>C</v>
      </c>
      <c r="I35" s="30">
        <f>Prefrac!F50</f>
        <v>181.78720227146505</v>
      </c>
      <c r="J35" s="36"/>
      <c r="K35" s="36"/>
      <c r="L35" s="36"/>
      <c r="M35" s="36"/>
      <c r="N35" s="10" t="str">
        <f>'2Bottom'!B19</f>
        <v>Component</v>
      </c>
      <c r="O35" s="10" t="s">
        <v>58</v>
      </c>
      <c r="P35" s="44"/>
      <c r="Q35" s="36"/>
      <c r="R35" s="36"/>
      <c r="S35" s="36"/>
      <c r="T35" s="10" t="str">
        <f>Final!B19</f>
        <v>Component</v>
      </c>
      <c r="U35" s="10" t="s">
        <v>58</v>
      </c>
      <c r="V35" s="46"/>
    </row>
    <row r="36" spans="2:22" ht="13.5" thickTop="1" thickBot="1" x14ac:dyDescent="0.4">
      <c r="B36" s="35"/>
      <c r="C36" s="36"/>
      <c r="D36" s="36"/>
      <c r="E36" s="36"/>
      <c r="F36" s="36"/>
      <c r="G36" s="36"/>
      <c r="H36" s="10" t="str">
        <f>Prefrac!B51</f>
        <v>D</v>
      </c>
      <c r="I36" s="31">
        <f>Prefrac!F51</f>
        <v>36.550255739026028</v>
      </c>
      <c r="J36" s="36"/>
      <c r="K36" s="36"/>
      <c r="L36" s="36"/>
      <c r="M36" s="36"/>
      <c r="N36" s="11" t="str">
        <f>'2Bottom'!B20</f>
        <v>A</v>
      </c>
      <c r="O36" s="29">
        <f>'2Bottom'!K20</f>
        <v>6.1836545395266285E-7</v>
      </c>
      <c r="P36" s="44"/>
      <c r="Q36" s="36"/>
      <c r="R36" s="36"/>
      <c r="S36" s="36"/>
      <c r="T36" s="11" t="str">
        <f>Final!B20</f>
        <v>A</v>
      </c>
      <c r="U36" s="29">
        <f>Final!K20</f>
        <v>0</v>
      </c>
      <c r="V36" s="46"/>
    </row>
    <row r="37" spans="2:22" ht="13.15" thickTop="1" x14ac:dyDescent="0.35">
      <c r="B37" s="35"/>
      <c r="C37" s="36"/>
      <c r="D37" s="36"/>
      <c r="E37" s="36"/>
      <c r="F37" s="36"/>
      <c r="G37" s="36"/>
      <c r="H37" s="11" t="str">
        <f>Prefrac!B52</f>
        <v>Totals</v>
      </c>
      <c r="I37" s="29">
        <f>Prefrac!F52</f>
        <v>403.42988214143736</v>
      </c>
      <c r="J37" s="36"/>
      <c r="K37" s="36"/>
      <c r="L37" s="36"/>
      <c r="M37" s="36"/>
      <c r="N37" s="13" t="str">
        <f>'2Bottom'!B21</f>
        <v>B</v>
      </c>
      <c r="O37" s="30">
        <f>'2Bottom'!K21</f>
        <v>0.75</v>
      </c>
      <c r="P37" s="44"/>
      <c r="Q37" s="36"/>
      <c r="R37" s="36"/>
      <c r="S37" s="36"/>
      <c r="T37" s="13" t="str">
        <f>Final!B21</f>
        <v>B</v>
      </c>
      <c r="U37" s="30">
        <f>Final!K21</f>
        <v>0</v>
      </c>
      <c r="V37" s="46"/>
    </row>
    <row r="38" spans="2:22" x14ac:dyDescent="0.35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3" t="str">
        <f>'2Bottom'!B22</f>
        <v>C</v>
      </c>
      <c r="O38" s="30">
        <f>'2Bottom'!K22</f>
        <v>73.507499999999993</v>
      </c>
      <c r="P38" s="44"/>
      <c r="Q38" s="36"/>
      <c r="R38" s="36"/>
      <c r="S38" s="36"/>
      <c r="T38" s="13" t="str">
        <f>Final!B22</f>
        <v>C</v>
      </c>
      <c r="U38" s="30">
        <f>Final!K22</f>
        <v>0.73507499999999482</v>
      </c>
      <c r="V38" s="46"/>
    </row>
    <row r="39" spans="2:22" ht="13.15" thickBot="1" x14ac:dyDescent="0.4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10" t="str">
        <f>'2Bottom'!B23</f>
        <v>D</v>
      </c>
      <c r="O39" s="31">
        <f>'2Bottom'!K23</f>
        <v>14.89516899652487</v>
      </c>
      <c r="P39" s="44"/>
      <c r="Q39" s="36"/>
      <c r="R39" s="36"/>
      <c r="S39" s="36"/>
      <c r="T39" s="10" t="str">
        <f>Final!B23</f>
        <v>D</v>
      </c>
      <c r="U39" s="31">
        <f>Final!K23</f>
        <v>14.746217306559622</v>
      </c>
      <c r="V39" s="46"/>
    </row>
    <row r="40" spans="2:22" ht="13.15" thickTop="1" x14ac:dyDescent="0.35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11" t="str">
        <f>'2Bottom'!B24</f>
        <v>Totals</v>
      </c>
      <c r="O40" s="29">
        <f>'2Bottom'!K24</f>
        <v>89.152669614890314</v>
      </c>
      <c r="P40" s="44"/>
      <c r="Q40" s="36"/>
      <c r="R40" s="36"/>
      <c r="S40" s="36"/>
      <c r="T40" s="11" t="str">
        <f>Final!B24</f>
        <v>Totals</v>
      </c>
      <c r="U40" s="29">
        <f>Final!K24</f>
        <v>15.481292306559617</v>
      </c>
      <c r="V40" s="46"/>
    </row>
    <row r="41" spans="2:22" x14ac:dyDescent="0.35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44"/>
      <c r="Q41" s="36"/>
      <c r="R41" s="36"/>
      <c r="S41" s="36"/>
      <c r="T41" s="36"/>
      <c r="U41" s="36"/>
      <c r="V41" s="37"/>
    </row>
    <row r="42" spans="2:22" ht="7.5" customHeight="1" thickBot="1" x14ac:dyDescent="0.4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zoomScaleSheetLayoutView="10" workbookViewId="0"/>
  </sheetViews>
  <sheetFormatPr defaultColWidth="11.59765625" defaultRowHeight="12.75" x14ac:dyDescent="0.35"/>
  <cols>
    <col min="1" max="1" width="6.3984375" style="1" customWidth="1"/>
    <col min="2" max="2" width="11.59765625" style="1"/>
    <col min="3" max="3" width="12.3984375" style="1" customWidth="1"/>
    <col min="4" max="10" width="11.59765625" style="1"/>
    <col min="11" max="11" width="14.3984375" style="1" customWidth="1"/>
    <col min="12" max="12" width="13.3984375" style="1" customWidth="1"/>
    <col min="13" max="13" width="11.59765625" style="1"/>
    <col min="14" max="14" width="3.1328125" style="1" customWidth="1"/>
    <col min="15" max="15" width="8.265625" style="1" customWidth="1"/>
    <col min="16" max="16384" width="11.59765625" style="1"/>
  </cols>
  <sheetData>
    <row r="1" spans="1:16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35">
      <c r="A2" s="5"/>
      <c r="B2" s="5" t="s">
        <v>30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5">
      <c r="A3" s="5"/>
      <c r="B3" s="5"/>
      <c r="C3" s="5"/>
      <c r="D3" s="5"/>
      <c r="E3" s="5"/>
      <c r="F3" s="6"/>
      <c r="G3" s="7"/>
      <c r="H3" s="6"/>
      <c r="I3" s="5"/>
      <c r="J3" s="5"/>
      <c r="K3" s="5"/>
      <c r="L3" s="5"/>
      <c r="M3" s="5"/>
      <c r="N3" s="5"/>
      <c r="O3" s="5"/>
      <c r="P3" s="5"/>
    </row>
    <row r="4" spans="1:16" x14ac:dyDescent="0.35">
      <c r="A4" s="5"/>
      <c r="B4" s="5"/>
      <c r="C4" s="5"/>
      <c r="D4" s="5"/>
      <c r="E4" s="5"/>
      <c r="F4" s="6"/>
      <c r="G4" s="8"/>
      <c r="H4" s="6"/>
      <c r="I4" s="5"/>
      <c r="J4" s="5"/>
      <c r="K4" s="5"/>
      <c r="L4" s="5"/>
      <c r="M4" s="5"/>
      <c r="N4" s="5"/>
      <c r="O4" s="5"/>
      <c r="P4" s="5"/>
    </row>
    <row r="5" spans="1:16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8.75" customHeight="1" thickBot="1" x14ac:dyDescent="0.4">
      <c r="A6" s="9"/>
      <c r="B6" s="10" t="s">
        <v>38</v>
      </c>
      <c r="C6" s="10" t="s">
        <v>4</v>
      </c>
      <c r="D6" s="10" t="s">
        <v>5</v>
      </c>
      <c r="E6" s="10" t="s">
        <v>42</v>
      </c>
      <c r="F6" s="10" t="s">
        <v>32</v>
      </c>
      <c r="G6" s="5"/>
      <c r="H6" s="5"/>
      <c r="I6" s="5"/>
      <c r="J6" s="5"/>
      <c r="K6" s="5"/>
      <c r="L6" s="5"/>
      <c r="M6" s="5"/>
    </row>
    <row r="7" spans="1:16" ht="13.15" thickTop="1" x14ac:dyDescent="0.35">
      <c r="A7" s="6" t="s">
        <v>16</v>
      </c>
      <c r="B7" s="11" t="s">
        <v>34</v>
      </c>
      <c r="C7" s="11">
        <f>D7*300</f>
        <v>60</v>
      </c>
      <c r="D7" s="11">
        <v>0.2</v>
      </c>
      <c r="E7" s="12">
        <f>E8*2.33</f>
        <v>6.2323771999999993</v>
      </c>
      <c r="F7" s="14">
        <f>E7/$E$9</f>
        <v>5.4288999999999996</v>
      </c>
      <c r="G7" s="5"/>
      <c r="H7" s="5"/>
      <c r="I7" s="5"/>
      <c r="J7" s="5"/>
      <c r="K7" s="5"/>
      <c r="L7" s="5"/>
      <c r="M7" s="5"/>
    </row>
    <row r="8" spans="1:16" x14ac:dyDescent="0.35">
      <c r="A8" s="9"/>
      <c r="B8" s="13" t="s">
        <v>9</v>
      </c>
      <c r="C8" s="11">
        <f t="shared" ref="C8:C10" si="0">D8*300</f>
        <v>150</v>
      </c>
      <c r="D8" s="13">
        <v>0.5</v>
      </c>
      <c r="E8" s="14">
        <f>E9*2.33</f>
        <v>2.6748399999999997</v>
      </c>
      <c r="F8" s="14">
        <f t="shared" ref="F8" si="1">E8/$E$9</f>
        <v>2.33</v>
      </c>
      <c r="G8" s="5"/>
      <c r="H8" s="5"/>
      <c r="I8" s="5"/>
      <c r="J8" s="5"/>
      <c r="K8" s="5"/>
      <c r="L8" s="5"/>
      <c r="M8" s="5"/>
    </row>
    <row r="9" spans="1:16" x14ac:dyDescent="0.35">
      <c r="A9" s="6" t="s">
        <v>17</v>
      </c>
      <c r="B9" s="13" t="s">
        <v>35</v>
      </c>
      <c r="C9" s="11">
        <f t="shared" si="0"/>
        <v>75</v>
      </c>
      <c r="D9" s="13">
        <v>0.25</v>
      </c>
      <c r="E9" s="14">
        <v>1.1479999999999999</v>
      </c>
      <c r="F9" s="14">
        <f>E9/$E$9</f>
        <v>1</v>
      </c>
      <c r="G9" s="5"/>
      <c r="H9" s="5"/>
      <c r="I9" s="5"/>
      <c r="J9" s="5"/>
      <c r="K9" s="5"/>
      <c r="L9" s="5"/>
      <c r="M9" s="5"/>
    </row>
    <row r="10" spans="1:16" x14ac:dyDescent="0.35">
      <c r="A10" s="6"/>
      <c r="B10" s="13" t="s">
        <v>7</v>
      </c>
      <c r="C10" s="11">
        <f t="shared" si="0"/>
        <v>15</v>
      </c>
      <c r="D10" s="13">
        <v>0.05</v>
      </c>
      <c r="E10" s="14">
        <v>1</v>
      </c>
      <c r="F10" s="14">
        <f>E10/$E$9</f>
        <v>0.87108013937282236</v>
      </c>
      <c r="G10" s="5"/>
      <c r="H10" s="5"/>
      <c r="I10" s="5"/>
      <c r="J10" s="5"/>
      <c r="K10" s="5"/>
      <c r="L10" s="5"/>
      <c r="M10" s="5"/>
    </row>
    <row r="11" spans="1:16" x14ac:dyDescent="0.35">
      <c r="A11" s="9"/>
      <c r="B11" s="11" t="s">
        <v>29</v>
      </c>
      <c r="C11" s="11">
        <f>SUM(C7:C10)</f>
        <v>300</v>
      </c>
      <c r="D11" s="12">
        <f>SUM(D7:D10)</f>
        <v>1</v>
      </c>
      <c r="E11" s="12"/>
      <c r="F11" s="12"/>
      <c r="G11" s="5"/>
      <c r="H11" s="5"/>
      <c r="I11" s="5"/>
      <c r="J11" s="5"/>
      <c r="K11" s="5"/>
      <c r="L11" s="5"/>
      <c r="M11" s="5"/>
    </row>
    <row r="12" spans="1:16" x14ac:dyDescent="0.35">
      <c r="A12" s="9"/>
      <c r="B12" s="9"/>
      <c r="C12" s="9"/>
      <c r="D12" s="9"/>
      <c r="E12" s="9"/>
      <c r="F12" s="9"/>
      <c r="G12" s="5"/>
      <c r="H12" s="5"/>
      <c r="I12" s="5"/>
      <c r="J12" s="5"/>
      <c r="K12" s="5"/>
      <c r="L12" s="5"/>
      <c r="M12" s="5"/>
    </row>
    <row r="13" spans="1:16" ht="8.25" customHeight="1" x14ac:dyDescent="0.35">
      <c r="A13" s="5"/>
      <c r="B13" s="5"/>
      <c r="C13" s="5"/>
      <c r="D13" s="5"/>
      <c r="E13" s="5"/>
      <c r="F13" s="5"/>
      <c r="G13" s="5"/>
      <c r="H13" s="5"/>
      <c r="I13" s="9"/>
      <c r="J13" s="5"/>
      <c r="K13" s="5"/>
      <c r="L13" s="5"/>
      <c r="M13" s="5"/>
      <c r="N13" s="5"/>
      <c r="O13" s="5"/>
      <c r="P13" s="5"/>
    </row>
    <row r="14" spans="1:16" x14ac:dyDescent="0.35">
      <c r="A14" s="5"/>
      <c r="B14" s="16" t="s">
        <v>36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7.5" customHeight="1" x14ac:dyDescent="0.35">
      <c r="A15" s="5"/>
      <c r="B15" s="1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35">
      <c r="A16" s="5"/>
      <c r="B16" s="16"/>
      <c r="C16" s="5" t="s">
        <v>0</v>
      </c>
      <c r="D16" s="7">
        <v>0.99</v>
      </c>
      <c r="E16" s="7" t="s">
        <v>37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35">
      <c r="A17" s="5"/>
      <c r="B17" s="16"/>
      <c r="C17" s="5" t="s">
        <v>1</v>
      </c>
      <c r="D17" s="7">
        <v>0.01</v>
      </c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35">
      <c r="A18" s="5"/>
      <c r="B18" s="5"/>
      <c r="C18" s="5"/>
      <c r="D18" s="5"/>
      <c r="E18" s="5"/>
      <c r="F18" s="5"/>
      <c r="G18" s="5"/>
      <c r="H18" s="5"/>
      <c r="I18" s="5"/>
      <c r="J18" s="43"/>
      <c r="K18" s="43"/>
      <c r="L18" s="43"/>
      <c r="M18" s="43"/>
      <c r="N18" s="5"/>
      <c r="O18" s="5"/>
      <c r="P18" s="5"/>
    </row>
    <row r="19" spans="1:16" ht="21.75" customHeight="1" thickBot="1" x14ac:dyDescent="0.4">
      <c r="A19" s="9"/>
      <c r="B19" s="10" t="s">
        <v>38</v>
      </c>
      <c r="C19" s="21" t="s">
        <v>7</v>
      </c>
      <c r="D19" s="21" t="s">
        <v>9</v>
      </c>
      <c r="E19" s="10" t="s">
        <v>11</v>
      </c>
      <c r="F19" s="10" t="s">
        <v>12</v>
      </c>
      <c r="G19" s="10" t="s">
        <v>11</v>
      </c>
      <c r="H19" s="10" t="s">
        <v>13</v>
      </c>
      <c r="I19" s="22" t="s">
        <v>7</v>
      </c>
      <c r="J19" s="22" t="s">
        <v>8</v>
      </c>
      <c r="K19" s="22" t="s">
        <v>9</v>
      </c>
      <c r="L19" s="22" t="s">
        <v>10</v>
      </c>
      <c r="M19" s="5"/>
      <c r="N19" s="5"/>
      <c r="O19" s="5"/>
    </row>
    <row r="20" spans="1:16" ht="13.15" thickTop="1" x14ac:dyDescent="0.35">
      <c r="A20" s="6" t="s">
        <v>16</v>
      </c>
      <c r="B20" s="11" t="s">
        <v>34</v>
      </c>
      <c r="C20" s="17">
        <f>C7*D16</f>
        <v>59.4</v>
      </c>
      <c r="D20" s="19">
        <f>C7-C20</f>
        <v>0.60000000000000142</v>
      </c>
      <c r="E20" s="13">
        <f>LOG(C20/D20)</f>
        <v>1.9956351945975488</v>
      </c>
      <c r="F20" s="11">
        <f>LOG(F7)</f>
        <v>0.73471184205203788</v>
      </c>
      <c r="G20" s="11">
        <f>$G$26+$D$26*F20</f>
        <v>1.9956351945975492</v>
      </c>
      <c r="H20" s="11">
        <f>10^G20</f>
        <v>98.999999999999901</v>
      </c>
      <c r="I20" s="20">
        <f>C7/(1+1/H20)</f>
        <v>59.4</v>
      </c>
      <c r="J20" s="20">
        <f>I20/$I$24</f>
        <v>0.43928008294222964</v>
      </c>
      <c r="K20" s="20">
        <f>C7-I20</f>
        <v>0.60000000000000142</v>
      </c>
      <c r="L20" s="20">
        <f>K20/$K$24</f>
        <v>3.6412461201566207E-3</v>
      </c>
      <c r="M20" s="5"/>
      <c r="N20" s="5"/>
      <c r="O20" s="5"/>
    </row>
    <row r="21" spans="1:16" x14ac:dyDescent="0.35">
      <c r="A21" s="9"/>
      <c r="B21" s="13" t="s">
        <v>9</v>
      </c>
      <c r="C21" s="17" t="s">
        <v>15</v>
      </c>
      <c r="D21" s="17" t="s">
        <v>15</v>
      </c>
      <c r="E21" s="13" t="s">
        <v>15</v>
      </c>
      <c r="F21" s="13">
        <f>LOG(F8)</f>
        <v>0.36735592102601899</v>
      </c>
      <c r="G21" s="13">
        <f>$G$26+$D$26*F21</f>
        <v>0</v>
      </c>
      <c r="H21" s="13">
        <f t="shared" ref="H21:H23" si="2">10^G21</f>
        <v>1</v>
      </c>
      <c r="I21" s="18">
        <f>C8/(1+1/H21)</f>
        <v>75</v>
      </c>
      <c r="J21" s="18">
        <f>I21/$I$24</f>
        <v>0.55464656937150214</v>
      </c>
      <c r="K21" s="18">
        <f>C8-I21</f>
        <v>75</v>
      </c>
      <c r="L21" s="18">
        <f>K21/$K$24</f>
        <v>0.4551557650195765</v>
      </c>
      <c r="M21" s="5"/>
      <c r="N21" s="5"/>
      <c r="O21" s="5"/>
    </row>
    <row r="22" spans="1:16" x14ac:dyDescent="0.35">
      <c r="A22" s="6" t="s">
        <v>17</v>
      </c>
      <c r="B22" s="13" t="s">
        <v>35</v>
      </c>
      <c r="C22" s="17">
        <f>C9*D17</f>
        <v>0.75</v>
      </c>
      <c r="D22" s="17">
        <f>C9-C22</f>
        <v>74.25</v>
      </c>
      <c r="E22" s="13">
        <f>LOG(C22/D22)</f>
        <v>-1.9956351945975499</v>
      </c>
      <c r="F22" s="13">
        <f>LOG(F9)</f>
        <v>0</v>
      </c>
      <c r="G22" s="13">
        <f>$G$26+$D$26*F22</f>
        <v>-1.9956351945975497</v>
      </c>
      <c r="H22" s="13">
        <f t="shared" si="2"/>
        <v>1.0101010101010102E-2</v>
      </c>
      <c r="I22" s="18">
        <f>C9/(1+1/H22)</f>
        <v>0.75000000000000011</v>
      </c>
      <c r="J22" s="18">
        <f>I22/$I$24</f>
        <v>5.5464656937150216E-3</v>
      </c>
      <c r="K22" s="18">
        <f>C9-I22</f>
        <v>74.25</v>
      </c>
      <c r="L22" s="18">
        <f>K22/$K$24</f>
        <v>0.45060420736938073</v>
      </c>
      <c r="M22" s="5"/>
      <c r="N22" s="5"/>
      <c r="O22" s="5"/>
    </row>
    <row r="23" spans="1:16" x14ac:dyDescent="0.35">
      <c r="A23" s="6"/>
      <c r="B23" s="13" t="s">
        <v>7</v>
      </c>
      <c r="C23" s="17" t="s">
        <v>15</v>
      </c>
      <c r="D23" s="17" t="s">
        <v>15</v>
      </c>
      <c r="E23" s="13" t="s">
        <v>15</v>
      </c>
      <c r="F23" s="13">
        <f>LOG(F10)</f>
        <v>-5.9941888061954683E-2</v>
      </c>
      <c r="G23" s="13">
        <f>$G$26+$D$26*F23</f>
        <v>-2.3212652841111767</v>
      </c>
      <c r="H23" s="13">
        <f t="shared" si="2"/>
        <v>4.7723766911000253E-3</v>
      </c>
      <c r="I23" s="18">
        <f>C10/(1+1/H23)</f>
        <v>7.1245639337981281E-2</v>
      </c>
      <c r="J23" s="18">
        <f>I23/$I$24</f>
        <v>5.2688199255320877E-4</v>
      </c>
      <c r="K23" s="18">
        <f>C10-I23</f>
        <v>14.928754360662019</v>
      </c>
      <c r="L23" s="18">
        <f>K23/$K$24</f>
        <v>9.0598781490886127E-2</v>
      </c>
      <c r="M23" s="5"/>
      <c r="N23" s="5"/>
      <c r="O23" s="5"/>
    </row>
    <row r="24" spans="1:16" x14ac:dyDescent="0.35">
      <c r="A24" s="9"/>
      <c r="B24" s="11" t="s">
        <v>29</v>
      </c>
      <c r="C24" s="11"/>
      <c r="D24" s="11"/>
      <c r="E24" s="11"/>
      <c r="F24" s="11"/>
      <c r="G24" s="11"/>
      <c r="H24" s="11"/>
      <c r="I24" s="20">
        <f>SUM(I20:I23)</f>
        <v>135.22124563933798</v>
      </c>
      <c r="J24" s="20">
        <f>SUM(J20:J23)</f>
        <v>1</v>
      </c>
      <c r="K24" s="20">
        <f>SUM(K20:K23)</f>
        <v>164.77875436066202</v>
      </c>
      <c r="L24" s="20">
        <f>SUM(L20:L23)</f>
        <v>1</v>
      </c>
      <c r="M24" s="5"/>
      <c r="N24" s="5"/>
      <c r="O24" s="5"/>
    </row>
    <row r="25" spans="1:16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6" x14ac:dyDescent="0.35">
      <c r="A26" s="5"/>
      <c r="B26" s="5"/>
      <c r="C26" s="6" t="s">
        <v>18</v>
      </c>
      <c r="D26" s="5">
        <f>LOG(C20/C22*D22/D20,10)/LOG(F7/F9,10)</f>
        <v>5.4324296421404448</v>
      </c>
      <c r="E26" s="5"/>
      <c r="F26" s="6" t="s">
        <v>19</v>
      </c>
      <c r="G26" s="5">
        <f>LOG(C22/D22*F9^(-D26),10)</f>
        <v>-1.9956351945975497</v>
      </c>
      <c r="H26" s="5"/>
      <c r="I26" s="5"/>
      <c r="J26" s="5"/>
      <c r="K26" s="5"/>
      <c r="L26" s="5"/>
      <c r="M26" s="5"/>
      <c r="N26" s="5"/>
      <c r="O26" s="5"/>
    </row>
    <row r="27" spans="1:16" x14ac:dyDescent="0.35">
      <c r="A27" s="5"/>
      <c r="B27" s="5"/>
      <c r="C27" s="5"/>
      <c r="D27" s="5"/>
      <c r="E27" s="5"/>
      <c r="F27" s="5"/>
      <c r="G27" s="5">
        <f>LOG(C20/D20*F7^(-D26),10)</f>
        <v>-1.9956351945975501</v>
      </c>
      <c r="H27" s="5"/>
      <c r="I27" s="5"/>
      <c r="J27" s="5"/>
      <c r="K27" s="5"/>
      <c r="L27" s="5"/>
      <c r="M27" s="5"/>
      <c r="N27" s="5"/>
      <c r="O27" s="5"/>
    </row>
    <row r="28" spans="1:16" ht="6.75" customHeight="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6" ht="5.25" customHeight="1" x14ac:dyDescent="0.35">
      <c r="A29" s="5"/>
      <c r="B29" s="5"/>
      <c r="C29" s="5"/>
      <c r="D29" s="5"/>
      <c r="E29" s="5"/>
      <c r="F29" s="5"/>
      <c r="G29" s="5"/>
      <c r="H29" s="5"/>
      <c r="I29" s="5"/>
      <c r="J29" s="23"/>
      <c r="K29" s="5"/>
      <c r="L29" s="5"/>
      <c r="M29" s="5"/>
      <c r="N29" s="5"/>
      <c r="O29" s="5"/>
    </row>
    <row r="30" spans="1:16" x14ac:dyDescent="0.35">
      <c r="A30" s="5"/>
      <c r="B30" s="5" t="s">
        <v>31</v>
      </c>
      <c r="C30" s="5"/>
      <c r="D30" s="5"/>
      <c r="E30" s="5"/>
      <c r="F30" s="5"/>
      <c r="G30" s="5"/>
      <c r="H30" s="5"/>
      <c r="I30" s="5"/>
      <c r="J30" s="23"/>
      <c r="K30" s="5"/>
      <c r="L30" s="5"/>
      <c r="M30" s="5"/>
      <c r="N30" s="5"/>
      <c r="O30" s="5"/>
    </row>
    <row r="31" spans="1:16" ht="8.25" customHeight="1" x14ac:dyDescent="0.35">
      <c r="A31" s="5"/>
      <c r="B31" s="5"/>
      <c r="C31" s="5"/>
      <c r="D31" s="5"/>
      <c r="E31" s="5"/>
      <c r="F31" s="5"/>
      <c r="G31" s="5"/>
      <c r="H31" s="5"/>
      <c r="I31" s="5"/>
      <c r="J31" s="23"/>
      <c r="K31" s="5"/>
      <c r="L31" s="5"/>
      <c r="M31" s="5"/>
      <c r="N31" s="5"/>
      <c r="O31" s="5"/>
    </row>
    <row r="32" spans="1:16" x14ac:dyDescent="0.35">
      <c r="A32" s="5"/>
      <c r="B32" s="5"/>
      <c r="C32" s="5"/>
      <c r="D32" s="5"/>
      <c r="E32" s="6" t="s">
        <v>2</v>
      </c>
      <c r="F32" s="7">
        <v>1</v>
      </c>
      <c r="G32" s="5" t="s">
        <v>40</v>
      </c>
      <c r="H32" s="5"/>
      <c r="I32" s="5"/>
      <c r="J32" s="23"/>
      <c r="K32" s="5"/>
      <c r="L32" s="5"/>
      <c r="M32" s="5"/>
      <c r="N32" s="5"/>
      <c r="O32" s="5"/>
    </row>
    <row r="33" spans="1:16" x14ac:dyDescent="0.35">
      <c r="A33" s="5"/>
      <c r="B33" s="5"/>
      <c r="C33" s="5"/>
      <c r="D33" s="5"/>
      <c r="E33" s="6" t="s">
        <v>3</v>
      </c>
      <c r="F33" s="7">
        <v>1.2130834247765738</v>
      </c>
      <c r="G33" s="5"/>
      <c r="H33" s="5"/>
      <c r="I33" s="5"/>
      <c r="J33" s="5"/>
      <c r="K33" s="5"/>
      <c r="L33" s="5"/>
      <c r="M33" s="5"/>
      <c r="N33" s="5"/>
      <c r="O33" s="5"/>
    </row>
    <row r="34" spans="1:16" x14ac:dyDescent="0.35">
      <c r="A34" s="5"/>
      <c r="B34" s="6"/>
      <c r="C34" s="7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6" ht="13.15" thickBot="1" x14ac:dyDescent="0.4">
      <c r="A35" s="9"/>
      <c r="B35" s="10" t="s">
        <v>38</v>
      </c>
      <c r="C35" s="26" t="str">
        <f>D6</f>
        <v>xf</v>
      </c>
      <c r="D35" s="10" t="s">
        <v>32</v>
      </c>
      <c r="E35" s="10" t="s">
        <v>6</v>
      </c>
      <c r="F35" s="10" t="s">
        <v>14</v>
      </c>
      <c r="H35" s="6" t="s">
        <v>53</v>
      </c>
      <c r="I35" s="9">
        <v>1.1000000000000001</v>
      </c>
      <c r="J35" s="6" t="s">
        <v>22</v>
      </c>
      <c r="K35" s="5">
        <f>(I38-I37)/(I38+1)</f>
        <v>3.9399422268600437E-2</v>
      </c>
      <c r="L35" s="5"/>
      <c r="M35" s="5"/>
      <c r="N35" s="5"/>
    </row>
    <row r="36" spans="1:16" ht="13.15" thickTop="1" x14ac:dyDescent="0.35">
      <c r="A36" s="6" t="s">
        <v>16</v>
      </c>
      <c r="B36" s="11" t="s">
        <v>34</v>
      </c>
      <c r="C36" s="25">
        <f>D7</f>
        <v>0.2</v>
      </c>
      <c r="D36" s="12">
        <f>F7</f>
        <v>5.4288999999999996</v>
      </c>
      <c r="E36" s="12">
        <f>(D36*C36)/(D36-$F$33)</f>
        <v>0.25754915581033239</v>
      </c>
      <c r="F36" s="12">
        <f>(F7*J20)/(F7-$F$33)</f>
        <v>0.56568107263032019</v>
      </c>
      <c r="G36" s="5"/>
      <c r="H36" s="5"/>
      <c r="I36" s="5"/>
      <c r="J36" s="6" t="s">
        <v>23</v>
      </c>
      <c r="K36" s="5">
        <f>1-EXP((1+54.4*K35)/(11+117.2*K35)*(K35-1)/K35^0.5)</f>
        <v>0.62244220736353806</v>
      </c>
      <c r="L36" s="5"/>
      <c r="M36" s="5"/>
      <c r="N36" s="5"/>
    </row>
    <row r="37" spans="1:16" x14ac:dyDescent="0.35">
      <c r="A37" s="9"/>
      <c r="B37" s="13" t="s">
        <v>9</v>
      </c>
      <c r="C37" s="24">
        <f>D8</f>
        <v>0.5</v>
      </c>
      <c r="D37" s="12">
        <f t="shared" ref="D37:D39" si="3">F8</f>
        <v>2.33</v>
      </c>
      <c r="E37" s="12">
        <f>(D37*C37)/(D37-$F$33)</f>
        <v>1.043050148814342</v>
      </c>
      <c r="F37" s="14">
        <f>(F8*J21)/(F8-$F$33)</f>
        <v>1.1570483734446193</v>
      </c>
      <c r="G37" s="5"/>
      <c r="H37" s="4" t="s">
        <v>20</v>
      </c>
      <c r="I37" s="3">
        <f>F40-1</f>
        <v>0.69535793091208475</v>
      </c>
      <c r="J37" s="6" t="s">
        <v>24</v>
      </c>
      <c r="K37" s="5">
        <f>(K36+D26)/(1-K36)</f>
        <v>16.036940483265354</v>
      </c>
      <c r="L37" s="6"/>
      <c r="M37" s="9"/>
    </row>
    <row r="38" spans="1:16" x14ac:dyDescent="0.35">
      <c r="A38" s="6" t="s">
        <v>17</v>
      </c>
      <c r="B38" s="13" t="s">
        <v>35</v>
      </c>
      <c r="C38" s="24">
        <f>D9</f>
        <v>0.25</v>
      </c>
      <c r="D38" s="12">
        <f t="shared" si="3"/>
        <v>1</v>
      </c>
      <c r="E38" s="12">
        <f>(D38*C38)/(D38-$F$33)</f>
        <v>-1.1732493987373003</v>
      </c>
      <c r="F38" s="14">
        <f>(F9*J22)/(F9-$F$33)</f>
        <v>-2.6029550161072848E-2</v>
      </c>
      <c r="G38" s="5"/>
      <c r="H38" s="4" t="s">
        <v>21</v>
      </c>
      <c r="I38" s="2">
        <f>I35*I37</f>
        <v>0.76489372400329325</v>
      </c>
      <c r="J38" s="5"/>
      <c r="K38" s="5"/>
      <c r="L38" s="6"/>
      <c r="M38" s="9"/>
      <c r="N38" s="5"/>
    </row>
    <row r="39" spans="1:16" x14ac:dyDescent="0.35">
      <c r="A39" s="6"/>
      <c r="B39" s="13" t="s">
        <v>7</v>
      </c>
      <c r="C39" s="24">
        <f>D10</f>
        <v>0.05</v>
      </c>
      <c r="D39" s="12">
        <f t="shared" si="3"/>
        <v>0.87108013937282236</v>
      </c>
      <c r="E39" s="12">
        <f>(D39*C39)/(D39-$F$33)</f>
        <v>-0.12734967419164847</v>
      </c>
      <c r="F39" s="14">
        <f>(F10*J23)/(F10-$F$33)</f>
        <v>-1.341965001781954E-3</v>
      </c>
      <c r="G39" s="5"/>
      <c r="H39" s="5"/>
      <c r="I39" s="5"/>
      <c r="J39" s="6" t="s">
        <v>25</v>
      </c>
      <c r="K39" s="5">
        <f>0.206*LOG((K24/I24)*(C38/C36)*(L20/J22)^2,10)</f>
        <v>-3.7649857023157346E-2</v>
      </c>
      <c r="L39" s="6"/>
      <c r="M39" s="9"/>
      <c r="N39" s="5"/>
    </row>
    <row r="40" spans="1:16" x14ac:dyDescent="0.35">
      <c r="A40" s="9"/>
      <c r="B40" s="11" t="s">
        <v>29</v>
      </c>
      <c r="C40" s="25">
        <f t="shared" ref="C40" si="4">D11</f>
        <v>1</v>
      </c>
      <c r="D40" s="27"/>
      <c r="E40" s="12">
        <f>SUM(E36:E39)+F32</f>
        <v>1.0000002316957257</v>
      </c>
      <c r="F40" s="12">
        <f>SUM(F36:F39)</f>
        <v>1.6953579309120848</v>
      </c>
      <c r="G40" s="5"/>
      <c r="H40" s="5"/>
      <c r="J40" s="6" t="s">
        <v>26</v>
      </c>
      <c r="K40" s="5">
        <f>K37-K41</f>
        <v>7.6711191483351211</v>
      </c>
      <c r="L40" s="6" t="s">
        <v>33</v>
      </c>
      <c r="M40" s="9">
        <f t="shared" ref="M40:M41" si="5">ROUNDUP(K40,0)</f>
        <v>8</v>
      </c>
      <c r="N40" s="5"/>
    </row>
    <row r="41" spans="1:16" x14ac:dyDescent="0.35">
      <c r="A41" s="9"/>
      <c r="B41" s="15"/>
      <c r="C41" s="9"/>
      <c r="D41" s="9"/>
      <c r="E41" s="9" t="s">
        <v>28</v>
      </c>
      <c r="F41" s="5"/>
      <c r="G41" s="5"/>
      <c r="H41" s="5"/>
      <c r="I41" s="5"/>
      <c r="J41" s="6" t="s">
        <v>27</v>
      </c>
      <c r="K41" s="5">
        <f>K37/(1+10^K39)</f>
        <v>8.3658213349302333</v>
      </c>
      <c r="L41" s="6" t="s">
        <v>33</v>
      </c>
      <c r="M41" s="9">
        <f t="shared" si="5"/>
        <v>9</v>
      </c>
      <c r="N41" s="5"/>
      <c r="O41" s="5"/>
      <c r="P41" s="5"/>
    </row>
    <row r="42" spans="1:16" x14ac:dyDescent="0.35">
      <c r="A42" s="5"/>
      <c r="B42" s="5"/>
      <c r="C42" s="5"/>
      <c r="D42" s="5"/>
      <c r="E42" s="5"/>
      <c r="F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3.15" thickBot="1" x14ac:dyDescent="0.4">
      <c r="A47" s="9"/>
      <c r="B47" s="10" t="s">
        <v>38</v>
      </c>
      <c r="C47" s="10" t="s">
        <v>54</v>
      </c>
      <c r="D47" s="10" t="s">
        <v>55</v>
      </c>
      <c r="E47" s="10" t="s">
        <v>56</v>
      </c>
      <c r="F47" s="10" t="s">
        <v>57</v>
      </c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13.15" thickTop="1" x14ac:dyDescent="0.35">
      <c r="A48" s="6"/>
      <c r="B48" s="11" t="s">
        <v>34</v>
      </c>
      <c r="C48" s="12">
        <f>I20*($I$38+1)</f>
        <v>104.8346872057956</v>
      </c>
      <c r="D48" s="12">
        <f>I20*$I$38</f>
        <v>45.434687205795619</v>
      </c>
      <c r="E48" s="12">
        <f>L20*$E$52</f>
        <v>0.86898749310274992</v>
      </c>
      <c r="F48" s="12">
        <f>E48+K20</f>
        <v>1.4689874931027513</v>
      </c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35">
      <c r="A49" s="9"/>
      <c r="B49" s="13" t="s">
        <v>9</v>
      </c>
      <c r="C49" s="14">
        <f t="shared" ref="C49:C51" si="6">I21*($I$38+1)</f>
        <v>132.367029300247</v>
      </c>
      <c r="D49" s="14">
        <f t="shared" ref="D49:D51" si="7">I21*$I$38</f>
        <v>57.36702930024699</v>
      </c>
      <c r="E49" s="12">
        <f t="shared" ref="E49:E51" si="8">L21*$E$52</f>
        <v>108.62343663784348</v>
      </c>
      <c r="F49" s="14">
        <f t="shared" ref="F49:F51" si="9">E49+K21</f>
        <v>183.6234366378435</v>
      </c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5">
      <c r="A50" s="6"/>
      <c r="B50" s="13" t="s">
        <v>35</v>
      </c>
      <c r="C50" s="14">
        <f t="shared" si="6"/>
        <v>1.32367029300247</v>
      </c>
      <c r="D50" s="14">
        <f t="shared" si="7"/>
        <v>0.57367029300247008</v>
      </c>
      <c r="E50" s="12">
        <f t="shared" si="8"/>
        <v>107.53720227146505</v>
      </c>
      <c r="F50" s="14">
        <f t="shared" si="9"/>
        <v>181.78720227146505</v>
      </c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35">
      <c r="A51" s="6"/>
      <c r="B51" s="13" t="s">
        <v>7</v>
      </c>
      <c r="C51" s="14">
        <f t="shared" si="6"/>
        <v>0.12574098173020529</v>
      </c>
      <c r="D51" s="14">
        <f t="shared" si="7"/>
        <v>5.4495342392224026E-2</v>
      </c>
      <c r="E51" s="12">
        <f t="shared" si="8"/>
        <v>21.621501378364005</v>
      </c>
      <c r="F51" s="14">
        <f t="shared" si="9"/>
        <v>36.550255739026028</v>
      </c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35">
      <c r="A52" s="9"/>
      <c r="B52" s="11" t="s">
        <v>29</v>
      </c>
      <c r="C52" s="14">
        <f>SUM(C48:C51)</f>
        <v>238.65112778077528</v>
      </c>
      <c r="D52" s="14">
        <f>SUM(D48:D51)</f>
        <v>103.4298821414373</v>
      </c>
      <c r="E52" s="14">
        <f>C52-(1-$F$32)*C11</f>
        <v>238.65112778077528</v>
      </c>
      <c r="F52" s="14">
        <f>SUM(F48:F51)</f>
        <v>403.42988214143736</v>
      </c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x14ac:dyDescent="0.35">
      <c r="A95" s="5"/>
      <c r="I95" s="5"/>
      <c r="J95" s="5"/>
      <c r="K95" s="5"/>
      <c r="L95" s="5"/>
      <c r="M95" s="5"/>
      <c r="N95" s="5"/>
      <c r="O95" s="5"/>
      <c r="P95" s="5"/>
    </row>
  </sheetData>
  <sheetProtection selectLockedCells="1" selectUnlockedCells="1"/>
  <mergeCells count="1">
    <mergeCell ref="J18:M18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5"/>
  <sheetViews>
    <sheetView zoomScaleSheetLayoutView="10" workbookViewId="0"/>
  </sheetViews>
  <sheetFormatPr defaultColWidth="11.59765625" defaultRowHeight="12.75" x14ac:dyDescent="0.35"/>
  <cols>
    <col min="1" max="1" width="6.3984375" style="1" customWidth="1"/>
    <col min="2" max="2" width="11.59765625" style="1"/>
    <col min="3" max="3" width="12.3984375" style="1" customWidth="1"/>
    <col min="4" max="10" width="11.59765625" style="1"/>
    <col min="11" max="11" width="14.3984375" style="1" customWidth="1"/>
    <col min="12" max="12" width="13.3984375" style="1" customWidth="1"/>
    <col min="13" max="13" width="11.59765625" style="1"/>
    <col min="14" max="14" width="3.1328125" style="1" customWidth="1"/>
    <col min="15" max="15" width="8.265625" style="1" customWidth="1"/>
    <col min="16" max="16384" width="11.59765625" style="1"/>
  </cols>
  <sheetData>
    <row r="1" spans="1:16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35">
      <c r="A2" s="5"/>
      <c r="B2" s="5" t="s">
        <v>30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5">
      <c r="A3" s="5"/>
      <c r="B3" s="5"/>
      <c r="C3" s="5"/>
      <c r="D3" s="5"/>
      <c r="E3" s="5"/>
      <c r="F3" s="6"/>
      <c r="G3" s="7"/>
      <c r="H3" s="6"/>
      <c r="I3" s="5"/>
      <c r="J3" s="5"/>
      <c r="K3" s="5"/>
      <c r="L3" s="5"/>
      <c r="M3" s="5"/>
      <c r="N3" s="5"/>
      <c r="O3" s="5"/>
      <c r="P3" s="5"/>
    </row>
    <row r="4" spans="1:16" x14ac:dyDescent="0.35">
      <c r="A4" s="5"/>
      <c r="B4" s="5"/>
      <c r="C4" s="5"/>
      <c r="D4" s="5"/>
      <c r="E4" s="5"/>
      <c r="F4" s="6"/>
      <c r="G4" s="8"/>
      <c r="H4" s="6"/>
      <c r="I4" s="5"/>
      <c r="J4" s="5"/>
      <c r="K4" s="5"/>
      <c r="L4" s="5"/>
      <c r="M4" s="5"/>
      <c r="N4" s="5"/>
      <c r="O4" s="5"/>
      <c r="P4" s="5"/>
    </row>
    <row r="5" spans="1:16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8.75" customHeight="1" thickBot="1" x14ac:dyDescent="0.4">
      <c r="A6" s="9"/>
      <c r="B6" s="10" t="s">
        <v>38</v>
      </c>
      <c r="C6" s="10" t="s">
        <v>4</v>
      </c>
      <c r="D6" s="10" t="s">
        <v>5</v>
      </c>
      <c r="E6" s="10" t="s">
        <v>41</v>
      </c>
      <c r="F6" s="10" t="s">
        <v>32</v>
      </c>
      <c r="G6" s="5"/>
      <c r="H6" s="5"/>
      <c r="I6" s="5"/>
      <c r="J6" s="5"/>
      <c r="K6" s="5"/>
      <c r="L6" s="5"/>
      <c r="M6" s="5"/>
    </row>
    <row r="7" spans="1:16" ht="13.15" thickTop="1" x14ac:dyDescent="0.35">
      <c r="A7" s="6" t="s">
        <v>16</v>
      </c>
      <c r="B7" s="11" t="s">
        <v>34</v>
      </c>
      <c r="C7" s="11">
        <f>Prefrac!C48-Prefrac!D48</f>
        <v>59.399999999999984</v>
      </c>
      <c r="D7" s="11">
        <f>C7/$C$11</f>
        <v>0.43928008294222964</v>
      </c>
      <c r="E7" s="12">
        <f>E8*2.33</f>
        <v>6.2323771999999993</v>
      </c>
      <c r="F7" s="14">
        <f>E7/$E$8</f>
        <v>2.33</v>
      </c>
      <c r="G7" s="5"/>
      <c r="H7" s="5"/>
      <c r="I7" s="5"/>
      <c r="J7" s="5"/>
      <c r="K7" s="5"/>
      <c r="L7" s="5"/>
      <c r="M7" s="5"/>
    </row>
    <row r="8" spans="1:16" x14ac:dyDescent="0.35">
      <c r="A8" s="6" t="s">
        <v>17</v>
      </c>
      <c r="B8" s="13" t="s">
        <v>9</v>
      </c>
      <c r="C8" s="11">
        <f>Prefrac!C49-Prefrac!D49</f>
        <v>75</v>
      </c>
      <c r="D8" s="11">
        <f t="shared" ref="D8:D10" si="0">C8/$C$11</f>
        <v>0.55464656937150225</v>
      </c>
      <c r="E8" s="14">
        <f>E9*2.33</f>
        <v>2.6748399999999997</v>
      </c>
      <c r="F8" s="14">
        <f>E8/$E$8</f>
        <v>1</v>
      </c>
      <c r="G8" s="5"/>
      <c r="H8" s="5"/>
      <c r="I8" s="5"/>
      <c r="J8" s="5"/>
      <c r="K8" s="5"/>
      <c r="L8" s="5"/>
      <c r="M8" s="5"/>
    </row>
    <row r="9" spans="1:16" x14ac:dyDescent="0.35">
      <c r="A9" s="6"/>
      <c r="B9" s="13" t="s">
        <v>35</v>
      </c>
      <c r="C9" s="11">
        <f>Prefrac!C50-Prefrac!D50</f>
        <v>0.74999999999999989</v>
      </c>
      <c r="D9" s="11">
        <f t="shared" si="0"/>
        <v>5.5464656937150216E-3</v>
      </c>
      <c r="E9" s="14">
        <v>1.1479999999999999</v>
      </c>
      <c r="F9" s="14">
        <f t="shared" ref="F9:F10" si="1">E9/$E$8</f>
        <v>0.42918454935622319</v>
      </c>
      <c r="G9" s="5"/>
      <c r="H9" s="5"/>
      <c r="I9" s="5"/>
      <c r="J9" s="5"/>
      <c r="K9" s="5"/>
      <c r="L9" s="5"/>
      <c r="M9" s="5"/>
    </row>
    <row r="10" spans="1:16" x14ac:dyDescent="0.35">
      <c r="A10" s="6"/>
      <c r="B10" s="13" t="s">
        <v>7</v>
      </c>
      <c r="C10" s="11">
        <f>Prefrac!C51-Prefrac!D51</f>
        <v>7.1245639337981254E-2</v>
      </c>
      <c r="D10" s="11">
        <f t="shared" si="0"/>
        <v>5.2688199255320866E-4</v>
      </c>
      <c r="E10" s="14">
        <v>1</v>
      </c>
      <c r="F10" s="14">
        <f t="shared" si="1"/>
        <v>0.37385413706988085</v>
      </c>
      <c r="G10" s="5"/>
      <c r="H10" s="5"/>
      <c r="I10" s="5"/>
      <c r="J10" s="5"/>
      <c r="K10" s="5"/>
      <c r="L10" s="5"/>
      <c r="M10" s="5"/>
    </row>
    <row r="11" spans="1:16" x14ac:dyDescent="0.35">
      <c r="A11" s="9"/>
      <c r="B11" s="11" t="s">
        <v>29</v>
      </c>
      <c r="C11" s="11">
        <f>SUM(C7:C10)</f>
        <v>135.22124563933795</v>
      </c>
      <c r="D11" s="12">
        <f>SUM(D7:D10)</f>
        <v>1</v>
      </c>
      <c r="E11" s="12"/>
      <c r="F11" s="12"/>
      <c r="G11" s="5"/>
      <c r="H11" s="5"/>
      <c r="I11" s="5"/>
      <c r="J11" s="5"/>
      <c r="K11" s="5"/>
      <c r="L11" s="5"/>
      <c r="M11" s="5"/>
    </row>
    <row r="12" spans="1:16" x14ac:dyDescent="0.35">
      <c r="A12" s="9"/>
      <c r="B12" s="9"/>
      <c r="C12" s="9"/>
      <c r="D12" s="9"/>
      <c r="E12" s="9"/>
      <c r="F12" s="9"/>
      <c r="G12" s="5"/>
      <c r="H12" s="5"/>
      <c r="I12" s="5"/>
      <c r="J12" s="5"/>
      <c r="K12" s="5"/>
      <c r="L12" s="5"/>
      <c r="M12" s="5"/>
    </row>
    <row r="13" spans="1:16" ht="8.25" customHeight="1" x14ac:dyDescent="0.35">
      <c r="A13" s="5"/>
      <c r="B13" s="5"/>
      <c r="C13" s="5"/>
      <c r="D13" s="5"/>
      <c r="E13" s="5"/>
      <c r="F13" s="5"/>
      <c r="G13" s="5"/>
      <c r="H13" s="5"/>
      <c r="I13" s="9"/>
      <c r="J13" s="5"/>
      <c r="K13" s="5"/>
      <c r="L13" s="5"/>
      <c r="M13" s="5"/>
      <c r="N13" s="5"/>
      <c r="O13" s="5"/>
      <c r="P13" s="5"/>
    </row>
    <row r="14" spans="1:16" x14ac:dyDescent="0.35">
      <c r="A14" s="5"/>
      <c r="B14" s="16" t="s">
        <v>36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7.5" customHeight="1" x14ac:dyDescent="0.35">
      <c r="A15" s="5"/>
      <c r="B15" s="1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35">
      <c r="A16" s="5"/>
      <c r="B16" s="16"/>
      <c r="C16" s="5" t="s">
        <v>0</v>
      </c>
      <c r="D16" s="7">
        <v>0.99</v>
      </c>
      <c r="E16" s="7" t="s">
        <v>37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x14ac:dyDescent="0.35">
      <c r="A17" s="5"/>
      <c r="B17" s="16"/>
      <c r="C17" s="5" t="s">
        <v>1</v>
      </c>
      <c r="D17" s="7">
        <v>0.01</v>
      </c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x14ac:dyDescent="0.35">
      <c r="A18" s="5"/>
      <c r="B18" s="5"/>
      <c r="C18" s="5"/>
      <c r="D18" s="5"/>
      <c r="E18" s="5"/>
      <c r="F18" s="5"/>
      <c r="G18" s="5"/>
      <c r="H18" s="5"/>
      <c r="I18" s="5"/>
      <c r="J18" s="43"/>
      <c r="K18" s="43"/>
      <c r="L18" s="43"/>
      <c r="M18" s="43"/>
      <c r="N18" s="5"/>
      <c r="O18" s="5"/>
      <c r="P18" s="5"/>
    </row>
    <row r="19" spans="1:17" ht="21.75" customHeight="1" thickBot="1" x14ac:dyDescent="0.4">
      <c r="A19" s="9"/>
      <c r="B19" s="10" t="s">
        <v>38</v>
      </c>
      <c r="C19" s="21" t="s">
        <v>7</v>
      </c>
      <c r="D19" s="21" t="s">
        <v>9</v>
      </c>
      <c r="E19" s="10" t="s">
        <v>11</v>
      </c>
      <c r="F19" s="10" t="s">
        <v>12</v>
      </c>
      <c r="G19" s="10" t="s">
        <v>11</v>
      </c>
      <c r="H19" s="10" t="s">
        <v>13</v>
      </c>
      <c r="I19" s="22" t="s">
        <v>7</v>
      </c>
      <c r="J19" s="22" t="s">
        <v>8</v>
      </c>
      <c r="K19" s="22" t="s">
        <v>9</v>
      </c>
      <c r="L19" s="22" t="s">
        <v>10</v>
      </c>
      <c r="M19" s="5"/>
      <c r="N19" s="5"/>
      <c r="O19" s="5"/>
    </row>
    <row r="20" spans="1:17" ht="13.15" thickTop="1" x14ac:dyDescent="0.35">
      <c r="A20" s="6" t="s">
        <v>16</v>
      </c>
      <c r="B20" s="11" t="s">
        <v>34</v>
      </c>
      <c r="C20" s="17">
        <f>C7*D16</f>
        <v>58.805999999999983</v>
      </c>
      <c r="D20" s="19">
        <f>C7-C20</f>
        <v>0.59400000000000119</v>
      </c>
      <c r="E20" s="13">
        <f>LOG(C20/D20)</f>
        <v>1.995635194597549</v>
      </c>
      <c r="F20" s="11">
        <f>LOG(F7)</f>
        <v>0.36735592102601899</v>
      </c>
      <c r="G20" s="11">
        <f>$G$26+$D$26*F20</f>
        <v>1.9956351945975492</v>
      </c>
      <c r="H20" s="11">
        <f>10^G20</f>
        <v>98.999999999999901</v>
      </c>
      <c r="I20" s="20">
        <f>C7/(1+1/H20)</f>
        <v>58.805999999999983</v>
      </c>
      <c r="J20" s="20">
        <f>I20/$I$24</f>
        <v>0.9874067973099786</v>
      </c>
      <c r="K20" s="20">
        <f>C7-I20</f>
        <v>0.59400000000000119</v>
      </c>
      <c r="L20" s="20">
        <f>K20/$K$24</f>
        <v>7.8503677768786695E-3</v>
      </c>
      <c r="M20" s="5"/>
      <c r="N20" s="5"/>
      <c r="O20" s="5"/>
    </row>
    <row r="21" spans="1:17" x14ac:dyDescent="0.35">
      <c r="A21" s="6" t="s">
        <v>17</v>
      </c>
      <c r="B21" s="13" t="s">
        <v>9</v>
      </c>
      <c r="C21" s="17">
        <f>C8*D17</f>
        <v>0.75</v>
      </c>
      <c r="D21" s="17">
        <f>C8-C21</f>
        <v>74.25</v>
      </c>
      <c r="E21" s="13">
        <f>LOG(C21/D21)</f>
        <v>-1.9956351945975499</v>
      </c>
      <c r="F21" s="13">
        <f>LOG(F8)</f>
        <v>0</v>
      </c>
      <c r="G21" s="13">
        <f>$G$26+$D$26*F21</f>
        <v>-1.9956351945975497</v>
      </c>
      <c r="H21" s="13">
        <f t="shared" ref="H21:H23" si="2">10^G21</f>
        <v>1.0101010101010102E-2</v>
      </c>
      <c r="I21" s="18">
        <f>C8/(1+1/H21)</f>
        <v>0.75000000000000011</v>
      </c>
      <c r="J21" s="18">
        <f>I21/$I$24</f>
        <v>1.2593189436154206E-2</v>
      </c>
      <c r="K21" s="18">
        <f>C8-I21</f>
        <v>74.25</v>
      </c>
      <c r="L21" s="18">
        <f>K21/$K$24</f>
        <v>0.98129597210983166</v>
      </c>
      <c r="M21" s="5"/>
      <c r="N21" s="5"/>
      <c r="O21" s="5"/>
    </row>
    <row r="22" spans="1:17" x14ac:dyDescent="0.35">
      <c r="A22" s="6"/>
      <c r="B22" s="13" t="s">
        <v>35</v>
      </c>
      <c r="C22" s="17" t="s">
        <v>15</v>
      </c>
      <c r="D22" s="17" t="s">
        <v>15</v>
      </c>
      <c r="E22" s="13" t="s">
        <v>15</v>
      </c>
      <c r="F22" s="13">
        <f>LOG(F9)</f>
        <v>-0.36735592102601894</v>
      </c>
      <c r="G22" s="13">
        <f>$G$26+$D$26*F22</f>
        <v>-5.9869055837926481</v>
      </c>
      <c r="H22" s="13">
        <f t="shared" si="2"/>
        <v>1.0306101521283677E-6</v>
      </c>
      <c r="I22" s="18">
        <f>C9/(1+1/H22)</f>
        <v>7.7295681747913245E-7</v>
      </c>
      <c r="J22" s="18">
        <f>I22/$I$24</f>
        <v>1.2978655504642112E-8</v>
      </c>
      <c r="K22" s="18">
        <f>C9-I22</f>
        <v>0.74999922704318245</v>
      </c>
      <c r="L22" s="18">
        <f>K22/$K$24</f>
        <v>9.9120703108816436E-3</v>
      </c>
      <c r="M22" s="5"/>
      <c r="N22" s="5"/>
      <c r="O22" s="5"/>
    </row>
    <row r="23" spans="1:17" x14ac:dyDescent="0.35">
      <c r="A23" s="6"/>
      <c r="B23" s="13" t="s">
        <v>7</v>
      </c>
      <c r="C23" s="17" t="s">
        <v>15</v>
      </c>
      <c r="D23" s="17" t="s">
        <v>15</v>
      </c>
      <c r="E23" s="13" t="s">
        <v>15</v>
      </c>
      <c r="F23" s="13">
        <f>LOG(F10)</f>
        <v>-0.42729780908797366</v>
      </c>
      <c r="G23" s="13">
        <f>$G$26+$D$26*F23</f>
        <v>-6.6381657628199022</v>
      </c>
      <c r="H23" s="13">
        <f t="shared" si="2"/>
        <v>2.3005635638136256E-7</v>
      </c>
      <c r="I23" s="18">
        <f>C10/(1+1/H23)</f>
        <v>1.6390508423415991E-8</v>
      </c>
      <c r="J23" s="18">
        <f>I23/$I$24</f>
        <v>2.7521170337461167E-10</v>
      </c>
      <c r="K23" s="18">
        <f>C10-I23</f>
        <v>7.1245622947472831E-2</v>
      </c>
      <c r="L23" s="18">
        <f>K23/$K$24</f>
        <v>9.4158980240822737E-4</v>
      </c>
      <c r="M23" s="5"/>
      <c r="N23" s="5"/>
      <c r="O23" s="5"/>
    </row>
    <row r="24" spans="1:17" x14ac:dyDescent="0.35">
      <c r="A24" s="9"/>
      <c r="B24" s="11" t="s">
        <v>29</v>
      </c>
      <c r="C24" s="11"/>
      <c r="D24" s="11"/>
      <c r="E24" s="11"/>
      <c r="F24" s="11"/>
      <c r="G24" s="11"/>
      <c r="H24" s="11"/>
      <c r="I24" s="20">
        <f>SUM(I20:I23)</f>
        <v>59.556000789347308</v>
      </c>
      <c r="J24" s="20">
        <f>SUM(J20:J23)</f>
        <v>1</v>
      </c>
      <c r="K24" s="20">
        <f>SUM(K20:K23)</f>
        <v>75.665244849990643</v>
      </c>
      <c r="L24" s="20">
        <f>SUM(L20:L23)</f>
        <v>1.0000000000000002</v>
      </c>
      <c r="M24" s="5"/>
      <c r="N24" s="5"/>
      <c r="O24" s="5"/>
    </row>
    <row r="25" spans="1:17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7" x14ac:dyDescent="0.35">
      <c r="A26" s="5"/>
      <c r="B26" s="5"/>
      <c r="C26" s="6" t="s">
        <v>18</v>
      </c>
      <c r="D26" s="5">
        <f>LOG(C20/C21*D21/D20,10)/LOG(F7/F8,10)</f>
        <v>10.864859284280888</v>
      </c>
      <c r="E26" s="5"/>
      <c r="F26" s="6" t="s">
        <v>19</v>
      </c>
      <c r="G26" s="5">
        <f>LOG(C21/D21*F8^(-D26),10)</f>
        <v>-1.9956351945975497</v>
      </c>
      <c r="H26" s="5"/>
      <c r="I26" s="5"/>
      <c r="J26" s="5"/>
      <c r="K26" s="5"/>
      <c r="L26" s="5"/>
      <c r="M26" s="5"/>
      <c r="N26" s="5"/>
      <c r="O26" s="5"/>
    </row>
    <row r="27" spans="1:17" x14ac:dyDescent="0.35">
      <c r="A27" s="5"/>
      <c r="B27" s="5"/>
      <c r="C27" s="5"/>
      <c r="D27" s="5"/>
      <c r="E27" s="5"/>
      <c r="F27" s="5"/>
      <c r="G27" s="5">
        <f>LOG(C20/D20*F7^(-D26),10)</f>
        <v>-1.9956351945975497</v>
      </c>
      <c r="H27" s="5"/>
      <c r="I27" s="5"/>
      <c r="J27" s="5"/>
      <c r="K27" s="5"/>
      <c r="L27" s="5"/>
      <c r="M27" s="5"/>
      <c r="N27" s="5"/>
      <c r="O27" s="5"/>
    </row>
    <row r="28" spans="1:17" ht="6.75" customHeight="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7" ht="5.25" customHeight="1" x14ac:dyDescent="0.35">
      <c r="A29" s="5"/>
      <c r="B29" s="5"/>
      <c r="C29" s="5"/>
      <c r="D29" s="5"/>
      <c r="E29" s="5"/>
      <c r="F29" s="5"/>
      <c r="G29" s="5"/>
      <c r="H29" s="5"/>
      <c r="I29" s="5"/>
      <c r="J29" s="23"/>
      <c r="K29" s="5"/>
      <c r="L29" s="5"/>
      <c r="M29" s="5"/>
      <c r="N29" s="5"/>
      <c r="O29" s="5"/>
    </row>
    <row r="30" spans="1:17" x14ac:dyDescent="0.35">
      <c r="A30" s="5"/>
      <c r="B30" s="5" t="s">
        <v>43</v>
      </c>
      <c r="C30" s="5"/>
      <c r="D30" s="5"/>
      <c r="E30" s="5"/>
      <c r="F30" s="5"/>
      <c r="G30" s="5"/>
      <c r="H30" s="5"/>
      <c r="I30" s="5"/>
      <c r="J30" s="23"/>
      <c r="K30" s="5"/>
      <c r="L30" s="5"/>
      <c r="M30" s="5"/>
      <c r="N30" s="5"/>
      <c r="O30" s="5"/>
    </row>
    <row r="31" spans="1:17" ht="8.25" customHeight="1" x14ac:dyDescent="0.35">
      <c r="A31" s="5"/>
      <c r="B31" s="5"/>
      <c r="C31" s="5"/>
      <c r="D31" s="5"/>
      <c r="E31" s="5"/>
      <c r="F31" s="5"/>
      <c r="G31" s="5"/>
      <c r="H31" s="5"/>
      <c r="I31" s="5"/>
      <c r="J31" s="23"/>
      <c r="K31" s="5"/>
      <c r="L31" s="5"/>
      <c r="M31" s="5"/>
      <c r="N31" s="5"/>
      <c r="O31" s="5"/>
    </row>
    <row r="32" spans="1:17" x14ac:dyDescent="0.35">
      <c r="A32" s="5"/>
      <c r="B32" s="5" t="s">
        <v>46</v>
      </c>
      <c r="D32" s="5"/>
      <c r="E32" s="5"/>
      <c r="F32" s="5"/>
      <c r="G32" s="6" t="s">
        <v>2</v>
      </c>
      <c r="H32" s="7">
        <v>0</v>
      </c>
      <c r="I32" s="5" t="s">
        <v>39</v>
      </c>
      <c r="J32" s="5"/>
      <c r="K32" s="5"/>
      <c r="L32" s="23"/>
      <c r="M32" s="5"/>
      <c r="N32" s="5"/>
      <c r="O32" s="5"/>
      <c r="P32" s="5"/>
      <c r="Q32" s="5"/>
    </row>
    <row r="33" spans="1:18" x14ac:dyDescent="0.35">
      <c r="A33" s="5"/>
      <c r="B33" s="5"/>
      <c r="C33" s="5"/>
      <c r="D33" s="5"/>
      <c r="E33" s="5"/>
      <c r="F33" s="5"/>
      <c r="G33" s="6" t="s">
        <v>3</v>
      </c>
      <c r="H33" s="7">
        <v>1.744205721027414</v>
      </c>
      <c r="I33" s="5"/>
      <c r="J33" s="5"/>
      <c r="K33" s="5"/>
      <c r="L33" s="5"/>
      <c r="M33" s="5"/>
      <c r="N33" s="5"/>
      <c r="O33" s="5"/>
      <c r="P33" s="5"/>
      <c r="Q33" s="5"/>
    </row>
    <row r="34" spans="1:18" x14ac:dyDescent="0.35">
      <c r="A34" s="5"/>
      <c r="B34" s="6"/>
      <c r="C34" s="7"/>
      <c r="D34" s="7"/>
      <c r="E34" s="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8" ht="13.15" thickBot="1" x14ac:dyDescent="0.4">
      <c r="A35" s="9"/>
      <c r="B35" s="10" t="s">
        <v>38</v>
      </c>
      <c r="C35" s="26" t="str">
        <f>D6</f>
        <v>xf</v>
      </c>
      <c r="D35" s="26" t="s">
        <v>44</v>
      </c>
      <c r="E35" s="26" t="s">
        <v>45</v>
      </c>
      <c r="F35" s="10" t="s">
        <v>32</v>
      </c>
      <c r="G35" s="10" t="s">
        <v>6</v>
      </c>
      <c r="H35" s="10" t="s">
        <v>47</v>
      </c>
      <c r="I35" s="5"/>
      <c r="J35" s="6" t="s">
        <v>53</v>
      </c>
      <c r="K35" s="9">
        <v>1.1000000000000001</v>
      </c>
      <c r="L35" s="6" t="s">
        <v>22</v>
      </c>
      <c r="M35" s="5">
        <f>(K39-K38)/(K39+1)</f>
        <v>7.6034958077225906E-2</v>
      </c>
      <c r="N35" s="5"/>
      <c r="O35" s="5"/>
      <c r="P35" s="5"/>
    </row>
    <row r="36" spans="1:18" ht="13.15" thickTop="1" x14ac:dyDescent="0.35">
      <c r="A36" s="6" t="s">
        <v>16</v>
      </c>
      <c r="B36" s="11" t="s">
        <v>34</v>
      </c>
      <c r="C36" s="25">
        <f>D7</f>
        <v>0.43928008294222964</v>
      </c>
      <c r="D36" s="28">
        <f>Prefrac!D48+I20</f>
        <v>104.24068720579561</v>
      </c>
      <c r="E36" s="25">
        <f>D36/$D$40</f>
        <v>0.63956881007948163</v>
      </c>
      <c r="F36" s="12">
        <f>F7</f>
        <v>2.33</v>
      </c>
      <c r="G36" s="12">
        <f>(F36*C36)/(F36-$H$33)</f>
        <v>1.747238971077923</v>
      </c>
      <c r="H36" s="12">
        <f>(F7*E36)/(F7-$H$33)</f>
        <v>2.5438884963144717</v>
      </c>
      <c r="I36" s="5"/>
      <c r="J36" s="5"/>
      <c r="K36" s="5"/>
      <c r="L36" s="6" t="s">
        <v>23</v>
      </c>
      <c r="M36" s="5">
        <f>1-EXP((1+54.4*M35)/(11+117.2*M35)*(M35-1)/M35^0.5)</f>
        <v>0.5786832476115038</v>
      </c>
      <c r="N36" s="5"/>
      <c r="O36" s="5"/>
      <c r="P36" s="5"/>
    </row>
    <row r="37" spans="1:18" x14ac:dyDescent="0.35">
      <c r="A37" s="6" t="s">
        <v>17</v>
      </c>
      <c r="B37" s="13" t="s">
        <v>9</v>
      </c>
      <c r="C37" s="24">
        <f>D8</f>
        <v>0.55464656937150225</v>
      </c>
      <c r="D37" s="28">
        <f>Prefrac!D49+I21</f>
        <v>58.11702930024699</v>
      </c>
      <c r="E37" s="25">
        <f t="shared" ref="E37:E39" si="3">D37/$D$40</f>
        <v>0.35657707437721836</v>
      </c>
      <c r="F37" s="12">
        <f>F8</f>
        <v>1</v>
      </c>
      <c r="G37" s="12">
        <f>(F37*C37)/(F37-$H$33)</f>
        <v>-0.74528662398050949</v>
      </c>
      <c r="H37" s="12">
        <f t="shared" ref="H37:H39" si="4">(F8*E37)/(F8-$H$33)</f>
        <v>-0.47913777642685346</v>
      </c>
      <c r="I37" s="5"/>
      <c r="J37" s="4" t="s">
        <v>48</v>
      </c>
      <c r="K37" s="3">
        <f>H40*D40</f>
        <v>336.32312239403979</v>
      </c>
      <c r="L37" s="6" t="s">
        <v>24</v>
      </c>
      <c r="M37" s="5">
        <f>(M36+D26)/(1-M36)</f>
        <v>27.161375537567757</v>
      </c>
      <c r="N37" s="6"/>
      <c r="O37" s="9"/>
    </row>
    <row r="38" spans="1:18" x14ac:dyDescent="0.35">
      <c r="A38" s="6"/>
      <c r="B38" s="13" t="s">
        <v>35</v>
      </c>
      <c r="C38" s="24">
        <f>D9</f>
        <v>5.5464656937150216E-3</v>
      </c>
      <c r="D38" s="28">
        <f>Prefrac!D50+I22</f>
        <v>0.57367106595928752</v>
      </c>
      <c r="E38" s="25">
        <f t="shared" si="3"/>
        <v>3.5197592309446149E-3</v>
      </c>
      <c r="F38" s="12">
        <f>F9</f>
        <v>0.42918454935622319</v>
      </c>
      <c r="G38" s="12">
        <f>(F38*C38)/(F38-$H$33)</f>
        <v>-1.810204603969711E-3</v>
      </c>
      <c r="H38" s="12">
        <f t="shared" si="4"/>
        <v>-1.1487467364921556E-3</v>
      </c>
      <c r="I38" s="5"/>
      <c r="J38" s="6" t="s">
        <v>20</v>
      </c>
      <c r="K38" s="5">
        <f>K37/I24-1</f>
        <v>4.6471743894226929</v>
      </c>
      <c r="L38" s="5"/>
      <c r="M38" s="5"/>
      <c r="N38" s="6"/>
      <c r="O38" s="9"/>
      <c r="P38" s="5"/>
    </row>
    <row r="39" spans="1:18" x14ac:dyDescent="0.35">
      <c r="A39" s="6"/>
      <c r="B39" s="13" t="s">
        <v>7</v>
      </c>
      <c r="C39" s="24">
        <f>D10</f>
        <v>5.2688199255320866E-4</v>
      </c>
      <c r="D39" s="28">
        <f>Prefrac!D51+I23</f>
        <v>5.4495358782732449E-2</v>
      </c>
      <c r="E39" s="25">
        <f t="shared" si="3"/>
        <v>3.343563123554391E-4</v>
      </c>
      <c r="F39" s="12">
        <f>F10</f>
        <v>0.37385413706988085</v>
      </c>
      <c r="G39" s="12">
        <f>(F39*C39)/(F39-$H$33)</f>
        <v>-1.437419527730071E-4</v>
      </c>
      <c r="H39" s="12">
        <f t="shared" si="4"/>
        <v>-9.1217824748677018E-5</v>
      </c>
      <c r="I39" s="5"/>
      <c r="J39" s="4" t="s">
        <v>21</v>
      </c>
      <c r="K39" s="2">
        <f>MAX(K35*K38,'2Bottom'!K38*'2Bottom'!K35)</f>
        <v>5.1118918283649624</v>
      </c>
      <c r="L39" s="6" t="s">
        <v>25</v>
      </c>
      <c r="M39" s="5">
        <f>0.206*LOG((K24/I24)*(C37/C36)*(L20/J21)^2,10)</f>
        <v>-4.2280621035762168E-2</v>
      </c>
      <c r="N39" s="6"/>
      <c r="O39" s="9"/>
      <c r="P39" s="5"/>
    </row>
    <row r="40" spans="1:18" x14ac:dyDescent="0.35">
      <c r="A40" s="9"/>
      <c r="B40" s="11" t="s">
        <v>29</v>
      </c>
      <c r="C40" s="25">
        <f t="shared" ref="C40" si="5">D11</f>
        <v>1</v>
      </c>
      <c r="D40" s="28">
        <f>SUM(D36:D39)</f>
        <v>162.98588293078461</v>
      </c>
      <c r="E40" s="28">
        <f>SUM(E36:E39)</f>
        <v>1</v>
      </c>
      <c r="F40" s="27"/>
      <c r="G40" s="12">
        <f>SUM(G36:G39)+H32</f>
        <v>0.99999840054067102</v>
      </c>
      <c r="H40" s="12">
        <f>SUM(H36:H39)</f>
        <v>2.063510755326377</v>
      </c>
      <c r="I40" s="5"/>
      <c r="J40" s="5"/>
      <c r="K40" s="5"/>
      <c r="L40" s="6" t="s">
        <v>26</v>
      </c>
      <c r="M40" s="5">
        <f>M37-M41</f>
        <v>12.920137328021115</v>
      </c>
      <c r="N40" s="6" t="s">
        <v>33</v>
      </c>
      <c r="O40" s="9">
        <f t="shared" ref="O40:O41" si="6">ROUNDUP(M40,0)</f>
        <v>13</v>
      </c>
      <c r="P40" s="5"/>
    </row>
    <row r="41" spans="1:18" x14ac:dyDescent="0.35">
      <c r="A41" s="9"/>
      <c r="B41" s="15"/>
      <c r="C41" s="9"/>
      <c r="D41" s="9"/>
      <c r="E41" s="9"/>
      <c r="F41" s="9"/>
      <c r="G41" s="9" t="s">
        <v>28</v>
      </c>
      <c r="H41" s="5"/>
      <c r="I41" s="5"/>
      <c r="K41" s="5"/>
      <c r="L41" s="6" t="s">
        <v>27</v>
      </c>
      <c r="M41" s="5">
        <f>M37/(1+10^M39)</f>
        <v>14.241238209546642</v>
      </c>
      <c r="N41" s="6" t="s">
        <v>33</v>
      </c>
      <c r="O41" s="9">
        <f t="shared" si="6"/>
        <v>15</v>
      </c>
      <c r="P41" s="5"/>
      <c r="Q41" s="5"/>
      <c r="R41" s="5"/>
    </row>
    <row r="42" spans="1:18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8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8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8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8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8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x14ac:dyDescent="0.35">
      <c r="A95" s="5"/>
      <c r="I95" s="5"/>
      <c r="J95" s="5"/>
      <c r="K95" s="5"/>
      <c r="L95" s="5"/>
      <c r="M95" s="5"/>
      <c r="N95" s="5"/>
      <c r="O95" s="5"/>
      <c r="P95" s="5"/>
    </row>
  </sheetData>
  <sheetProtection selectLockedCells="1" selectUnlockedCells="1"/>
  <mergeCells count="1">
    <mergeCell ref="J18:M18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5"/>
  <sheetViews>
    <sheetView zoomScaleSheetLayoutView="10" workbookViewId="0"/>
  </sheetViews>
  <sheetFormatPr defaultColWidth="11.59765625" defaultRowHeight="12.75" x14ac:dyDescent="0.35"/>
  <cols>
    <col min="1" max="1" width="6.3984375" style="1" customWidth="1"/>
    <col min="2" max="2" width="11.59765625" style="1"/>
    <col min="3" max="3" width="12.3984375" style="1" customWidth="1"/>
    <col min="4" max="10" width="11.59765625" style="1"/>
    <col min="11" max="11" width="14.3984375" style="1" customWidth="1"/>
    <col min="12" max="12" width="13.3984375" style="1" customWidth="1"/>
    <col min="13" max="13" width="11.59765625" style="1"/>
    <col min="14" max="14" width="3.1328125" style="1" customWidth="1"/>
    <col min="15" max="15" width="8.265625" style="1" customWidth="1"/>
    <col min="16" max="16384" width="11.59765625" style="1"/>
  </cols>
  <sheetData>
    <row r="1" spans="1:16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35">
      <c r="A2" s="5"/>
      <c r="B2" s="5" t="s">
        <v>30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5">
      <c r="A3" s="5"/>
      <c r="B3" s="5"/>
      <c r="C3" s="5"/>
      <c r="D3" s="5"/>
      <c r="E3" s="5"/>
      <c r="F3" s="6"/>
      <c r="G3" s="7"/>
      <c r="H3" s="6"/>
      <c r="I3" s="5"/>
      <c r="J3" s="5"/>
      <c r="K3" s="5"/>
      <c r="L3" s="5"/>
      <c r="M3" s="5"/>
      <c r="N3" s="5"/>
      <c r="O3" s="5"/>
      <c r="P3" s="5"/>
    </row>
    <row r="4" spans="1:16" x14ac:dyDescent="0.35">
      <c r="A4" s="5"/>
      <c r="B4" s="5"/>
      <c r="C4" s="5"/>
      <c r="D4" s="5"/>
      <c r="E4" s="5"/>
      <c r="F4" s="6"/>
      <c r="G4" s="8"/>
      <c r="H4" s="6"/>
      <c r="I4" s="5"/>
      <c r="J4" s="5"/>
      <c r="K4" s="5"/>
      <c r="L4" s="5"/>
      <c r="M4" s="5"/>
      <c r="N4" s="5"/>
      <c r="O4" s="5"/>
      <c r="P4" s="5"/>
    </row>
    <row r="5" spans="1:16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8.75" customHeight="1" thickBot="1" x14ac:dyDescent="0.4">
      <c r="A6" s="9"/>
      <c r="B6" s="10" t="s">
        <v>38</v>
      </c>
      <c r="C6" s="10" t="s">
        <v>4</v>
      </c>
      <c r="D6" s="10" t="s">
        <v>5</v>
      </c>
      <c r="E6" s="10" t="s">
        <v>41</v>
      </c>
      <c r="F6" s="10" t="s">
        <v>32</v>
      </c>
      <c r="G6" s="5"/>
      <c r="H6" s="5"/>
      <c r="I6" s="5"/>
      <c r="J6" s="5"/>
      <c r="K6" s="5"/>
      <c r="L6" s="5"/>
      <c r="M6" s="5"/>
    </row>
    <row r="7" spans="1:16" ht="13.15" thickTop="1" x14ac:dyDescent="0.35">
      <c r="B7" s="11" t="s">
        <v>34</v>
      </c>
      <c r="C7" s="11">
        <f>Prefrac!F48-Prefrac!E48</f>
        <v>0.60000000000000142</v>
      </c>
      <c r="D7" s="11">
        <f>C7/$C$11</f>
        <v>3.6412461201566202E-3</v>
      </c>
      <c r="E7" s="12">
        <f>E8*2.33</f>
        <v>6.2323771999999993</v>
      </c>
      <c r="F7" s="14">
        <f t="shared" ref="F7:F8" si="0">E7/$E$9</f>
        <v>5.4288999999999996</v>
      </c>
      <c r="G7" s="5"/>
      <c r="H7" s="5"/>
      <c r="I7" s="5"/>
      <c r="J7" s="5"/>
      <c r="K7" s="5"/>
      <c r="L7" s="5"/>
      <c r="M7" s="5"/>
    </row>
    <row r="8" spans="1:16" x14ac:dyDescent="0.35">
      <c r="A8" s="6" t="s">
        <v>16</v>
      </c>
      <c r="B8" s="13" t="s">
        <v>9</v>
      </c>
      <c r="C8" s="11">
        <f>Prefrac!F49-Prefrac!E49</f>
        <v>75.000000000000014</v>
      </c>
      <c r="D8" s="11">
        <f t="shared" ref="D8:D10" si="1">C8/$C$11</f>
        <v>0.4551557650195765</v>
      </c>
      <c r="E8" s="14">
        <f>E9*2.33</f>
        <v>2.6748399999999997</v>
      </c>
      <c r="F8" s="14">
        <f t="shared" si="0"/>
        <v>2.33</v>
      </c>
      <c r="G8" s="5"/>
      <c r="H8" s="5"/>
      <c r="I8" s="5"/>
      <c r="J8" s="5"/>
      <c r="K8" s="5"/>
      <c r="L8" s="5"/>
      <c r="M8" s="5"/>
    </row>
    <row r="9" spans="1:16" x14ac:dyDescent="0.35">
      <c r="A9" s="6" t="s">
        <v>17</v>
      </c>
      <c r="B9" s="13" t="s">
        <v>35</v>
      </c>
      <c r="C9" s="11">
        <f>Prefrac!F50-Prefrac!E50</f>
        <v>74.25</v>
      </c>
      <c r="D9" s="11">
        <f t="shared" si="1"/>
        <v>0.45060420736938067</v>
      </c>
      <c r="E9" s="14">
        <v>1.1479999999999999</v>
      </c>
      <c r="F9" s="14">
        <f>E9/$E$9</f>
        <v>1</v>
      </c>
      <c r="G9" s="5"/>
      <c r="H9" s="5"/>
      <c r="I9" s="5"/>
      <c r="J9" s="5"/>
      <c r="K9" s="5"/>
      <c r="L9" s="5"/>
      <c r="M9" s="5"/>
    </row>
    <row r="10" spans="1:16" x14ac:dyDescent="0.35">
      <c r="A10" s="6"/>
      <c r="B10" s="13" t="s">
        <v>7</v>
      </c>
      <c r="C10" s="11">
        <f>Prefrac!F51-Prefrac!E51</f>
        <v>14.928754360662023</v>
      </c>
      <c r="D10" s="11">
        <f t="shared" si="1"/>
        <v>9.0598781490886141E-2</v>
      </c>
      <c r="E10" s="14">
        <v>1</v>
      </c>
      <c r="F10" s="14">
        <f>E10/$E$9</f>
        <v>0.87108013937282236</v>
      </c>
      <c r="G10" s="5"/>
      <c r="H10" s="5"/>
      <c r="I10" s="5"/>
      <c r="J10" s="5"/>
      <c r="K10" s="5"/>
      <c r="L10" s="5"/>
      <c r="M10" s="5"/>
    </row>
    <row r="11" spans="1:16" x14ac:dyDescent="0.35">
      <c r="A11" s="9"/>
      <c r="B11" s="11" t="s">
        <v>29</v>
      </c>
      <c r="C11" s="11">
        <f>SUM(C7:C10)</f>
        <v>164.77875436066205</v>
      </c>
      <c r="D11" s="12">
        <f>SUM(D7:D10)</f>
        <v>1</v>
      </c>
      <c r="E11" s="12"/>
      <c r="F11" s="12"/>
      <c r="G11" s="5"/>
      <c r="H11" s="5"/>
      <c r="I11" s="5"/>
      <c r="J11" s="5"/>
      <c r="K11" s="5"/>
      <c r="L11" s="5"/>
      <c r="M11" s="5"/>
    </row>
    <row r="12" spans="1:16" x14ac:dyDescent="0.35">
      <c r="A12" s="9"/>
      <c r="B12" s="9"/>
      <c r="C12" s="9"/>
      <c r="D12" s="9"/>
      <c r="E12" s="9"/>
      <c r="F12" s="9"/>
      <c r="G12" s="5"/>
      <c r="H12" s="5"/>
      <c r="I12" s="5"/>
      <c r="J12" s="5"/>
      <c r="K12" s="5"/>
      <c r="L12" s="5"/>
      <c r="M12" s="5"/>
    </row>
    <row r="13" spans="1:16" ht="8.25" customHeight="1" x14ac:dyDescent="0.35">
      <c r="A13" s="5"/>
      <c r="B13" s="5"/>
      <c r="C13" s="5"/>
      <c r="D13" s="5"/>
      <c r="E13" s="5"/>
      <c r="F13" s="5"/>
      <c r="G13" s="5"/>
      <c r="H13" s="5"/>
      <c r="I13" s="9"/>
      <c r="J13" s="5"/>
      <c r="K13" s="5"/>
      <c r="L13" s="5"/>
      <c r="M13" s="5"/>
      <c r="N13" s="5"/>
      <c r="O13" s="5"/>
      <c r="P13" s="5"/>
    </row>
    <row r="14" spans="1:16" x14ac:dyDescent="0.35">
      <c r="A14" s="5"/>
      <c r="B14" s="16" t="s">
        <v>36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7.5" customHeight="1" x14ac:dyDescent="0.35">
      <c r="A15" s="5"/>
      <c r="B15" s="1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35">
      <c r="A16" s="5"/>
      <c r="B16" s="16"/>
      <c r="C16" s="5" t="s">
        <v>0</v>
      </c>
      <c r="D16" s="7">
        <v>0.99</v>
      </c>
      <c r="E16" s="7" t="s">
        <v>37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x14ac:dyDescent="0.35">
      <c r="A17" s="5"/>
      <c r="B17" s="16"/>
      <c r="C17" s="5" t="s">
        <v>1</v>
      </c>
      <c r="D17" s="7">
        <v>0.01</v>
      </c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x14ac:dyDescent="0.35">
      <c r="A18" s="5"/>
      <c r="B18" s="5"/>
      <c r="C18" s="5"/>
      <c r="D18" s="5"/>
      <c r="E18" s="5"/>
      <c r="F18" s="5"/>
      <c r="G18" s="5"/>
      <c r="H18" s="5"/>
      <c r="I18" s="5"/>
      <c r="J18" s="43"/>
      <c r="K18" s="43"/>
      <c r="L18" s="43"/>
      <c r="M18" s="43"/>
      <c r="N18" s="5"/>
      <c r="O18" s="5"/>
      <c r="P18" s="5"/>
    </row>
    <row r="19" spans="1:17" ht="21.75" customHeight="1" thickBot="1" x14ac:dyDescent="0.4">
      <c r="A19" s="9"/>
      <c r="B19" s="10" t="s">
        <v>38</v>
      </c>
      <c r="C19" s="21" t="s">
        <v>7</v>
      </c>
      <c r="D19" s="21" t="s">
        <v>9</v>
      </c>
      <c r="E19" s="10" t="s">
        <v>11</v>
      </c>
      <c r="F19" s="10" t="s">
        <v>12</v>
      </c>
      <c r="G19" s="10" t="s">
        <v>11</v>
      </c>
      <c r="H19" s="10" t="s">
        <v>13</v>
      </c>
      <c r="I19" s="22" t="s">
        <v>7</v>
      </c>
      <c r="J19" s="22" t="s">
        <v>8</v>
      </c>
      <c r="K19" s="22" t="s">
        <v>9</v>
      </c>
      <c r="L19" s="22" t="s">
        <v>10</v>
      </c>
      <c r="M19" s="5"/>
      <c r="N19" s="5"/>
      <c r="O19" s="5"/>
    </row>
    <row r="20" spans="1:17" ht="13.15" thickTop="1" x14ac:dyDescent="0.35">
      <c r="A20" s="6"/>
      <c r="B20" s="11" t="s">
        <v>34</v>
      </c>
      <c r="C20" s="17" t="s">
        <v>15</v>
      </c>
      <c r="D20" s="19" t="s">
        <v>15</v>
      </c>
      <c r="E20" s="13" t="s">
        <v>15</v>
      </c>
      <c r="F20" s="11">
        <f>LOG(F7)</f>
        <v>0.73471184205203788</v>
      </c>
      <c r="G20" s="11">
        <f>$G$26+$D$26*F20</f>
        <v>5.9869055837926499</v>
      </c>
      <c r="H20" s="11">
        <f>10^G20</f>
        <v>970299.00000000221</v>
      </c>
      <c r="I20" s="20">
        <f>C7/(1+1/H20)</f>
        <v>0.59999938163454747</v>
      </c>
      <c r="J20" s="20">
        <f>I20/$I$24</f>
        <v>7.9337623209178986E-3</v>
      </c>
      <c r="K20" s="20">
        <f>C7-I20</f>
        <v>6.1836545395266285E-7</v>
      </c>
      <c r="L20" s="20">
        <f>K20/$K$24</f>
        <v>6.9360284624542886E-9</v>
      </c>
      <c r="M20" s="5"/>
      <c r="N20" s="5"/>
      <c r="O20" s="5"/>
    </row>
    <row r="21" spans="1:17" x14ac:dyDescent="0.35">
      <c r="A21" s="6" t="s">
        <v>16</v>
      </c>
      <c r="B21" s="13" t="s">
        <v>9</v>
      </c>
      <c r="C21" s="17">
        <f>C8*D16</f>
        <v>74.250000000000014</v>
      </c>
      <c r="D21" s="19">
        <f>C8-C21</f>
        <v>0.75</v>
      </c>
      <c r="E21" s="13">
        <f>LOG(C21/D21)</f>
        <v>1.9956351945975499</v>
      </c>
      <c r="F21" s="13">
        <f>LOG(F8)</f>
        <v>0.36735592102601899</v>
      </c>
      <c r="G21" s="13">
        <f>$G$26+$D$26*F21</f>
        <v>1.9956351945975506</v>
      </c>
      <c r="H21" s="13">
        <f t="shared" ref="H21:H23" si="2">10^G21</f>
        <v>99.000000000000156</v>
      </c>
      <c r="I21" s="18">
        <f>C8/(1+1/H21)</f>
        <v>74.250000000000014</v>
      </c>
      <c r="J21" s="18">
        <f>I21/$I$24</f>
        <v>0.98180409906981669</v>
      </c>
      <c r="K21" s="18">
        <f>C8-I21</f>
        <v>0.75</v>
      </c>
      <c r="L21" s="18">
        <f>K21/$K$24</f>
        <v>8.4125355218161047E-3</v>
      </c>
      <c r="M21" s="5"/>
      <c r="N21" s="5"/>
      <c r="O21" s="5"/>
    </row>
    <row r="22" spans="1:17" x14ac:dyDescent="0.35">
      <c r="A22" s="6" t="s">
        <v>17</v>
      </c>
      <c r="B22" s="13" t="s">
        <v>35</v>
      </c>
      <c r="C22" s="17">
        <f>C9*D17</f>
        <v>0.74250000000000005</v>
      </c>
      <c r="D22" s="17">
        <f>C9-C22</f>
        <v>73.507499999999993</v>
      </c>
      <c r="E22" s="13">
        <f>LOG(C22/D22)</f>
        <v>-1.9956351945975499</v>
      </c>
      <c r="F22" s="13">
        <f>LOG(F9)</f>
        <v>0</v>
      </c>
      <c r="G22" s="13">
        <f>$G$26+$D$26*F22</f>
        <v>-1.9956351945975497</v>
      </c>
      <c r="H22" s="13">
        <f t="shared" si="2"/>
        <v>1.0101010101010102E-2</v>
      </c>
      <c r="I22" s="18">
        <f>C9/(1+1/H22)</f>
        <v>0.74250000000000016</v>
      </c>
      <c r="J22" s="18">
        <f>I22/$I$24</f>
        <v>9.8180409906981677E-3</v>
      </c>
      <c r="K22" s="18">
        <f>C9-I22</f>
        <v>73.507499999999993</v>
      </c>
      <c r="L22" s="18">
        <f>K22/$K$24</f>
        <v>0.82451260649319624</v>
      </c>
      <c r="M22" s="5"/>
      <c r="N22" s="5"/>
      <c r="O22" s="5"/>
    </row>
    <row r="23" spans="1:17" x14ac:dyDescent="0.35">
      <c r="A23" s="6"/>
      <c r="B23" s="13" t="s">
        <v>7</v>
      </c>
      <c r="C23" s="17" t="s">
        <v>15</v>
      </c>
      <c r="D23" s="17" t="s">
        <v>15</v>
      </c>
      <c r="E23" s="13" t="s">
        <v>15</v>
      </c>
      <c r="F23" s="13">
        <f>LOG(F10)</f>
        <v>-5.9941888061954683E-2</v>
      </c>
      <c r="G23" s="13">
        <f>$G$26+$D$26*F23</f>
        <v>-2.6468953736248038</v>
      </c>
      <c r="H23" s="13">
        <f t="shared" si="2"/>
        <v>2.2547823488937293E-3</v>
      </c>
      <c r="I23" s="18">
        <f>C10/(1+1/H23)</f>
        <v>3.3585364137153399E-2</v>
      </c>
      <c r="J23" s="18">
        <f>I23/$I$24</f>
        <v>4.4409761856713291E-4</v>
      </c>
      <c r="K23" s="18">
        <f>C10-I23</f>
        <v>14.89516899652487</v>
      </c>
      <c r="L23" s="18">
        <f>K23/$K$24</f>
        <v>0.16707485104895919</v>
      </c>
      <c r="M23" s="5"/>
      <c r="N23" s="5"/>
      <c r="O23" s="5"/>
    </row>
    <row r="24" spans="1:17" x14ac:dyDescent="0.35">
      <c r="A24" s="9"/>
      <c r="B24" s="11" t="s">
        <v>29</v>
      </c>
      <c r="C24" s="11"/>
      <c r="D24" s="11"/>
      <c r="E24" s="11"/>
      <c r="F24" s="11"/>
      <c r="G24" s="11"/>
      <c r="H24" s="11"/>
      <c r="I24" s="20">
        <f>SUM(I20:I23)</f>
        <v>75.62608474577172</v>
      </c>
      <c r="J24" s="20">
        <f>SUM(J20:J23)</f>
        <v>0.99999999999999989</v>
      </c>
      <c r="K24" s="20">
        <f>SUM(K20:K23)</f>
        <v>89.152669614890314</v>
      </c>
      <c r="L24" s="20">
        <f>SUM(L20:L23)</f>
        <v>1</v>
      </c>
      <c r="M24" s="5"/>
      <c r="N24" s="5"/>
      <c r="O24" s="5"/>
    </row>
    <row r="25" spans="1:17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7" x14ac:dyDescent="0.35">
      <c r="A26" s="5"/>
      <c r="B26" s="5"/>
      <c r="C26" s="6" t="s">
        <v>18</v>
      </c>
      <c r="D26" s="5">
        <f>LOG(C21/C22*D22/D21,10)/LOG(F7/F8,10)</f>
        <v>10.864859284280891</v>
      </c>
      <c r="E26" s="5"/>
      <c r="F26" s="6" t="s">
        <v>19</v>
      </c>
      <c r="G26" s="5">
        <f>LOG(C22/D22*F9^(-D26),10)</f>
        <v>-1.9956351945975497</v>
      </c>
      <c r="H26" s="5"/>
      <c r="I26" s="5"/>
      <c r="J26" s="5"/>
      <c r="K26" s="5"/>
      <c r="L26" s="5"/>
      <c r="M26" s="5"/>
      <c r="N26" s="5"/>
      <c r="O26" s="5"/>
    </row>
    <row r="27" spans="1:17" x14ac:dyDescent="0.35">
      <c r="A27" s="5"/>
      <c r="B27" s="5"/>
      <c r="C27" s="5"/>
      <c r="D27" s="5"/>
      <c r="E27" s="5"/>
      <c r="F27" s="5"/>
      <c r="G27" s="5">
        <f>LOG(C21/D21*F8^(-D26),10)</f>
        <v>-1.9956351945975503</v>
      </c>
      <c r="H27" s="5"/>
      <c r="I27" s="5"/>
      <c r="J27" s="5"/>
      <c r="K27" s="5"/>
      <c r="L27" s="5"/>
      <c r="M27" s="5"/>
      <c r="N27" s="5"/>
      <c r="O27" s="5"/>
    </row>
    <row r="28" spans="1:17" ht="6.75" customHeight="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7" ht="5.25" customHeight="1" x14ac:dyDescent="0.35">
      <c r="A29" s="5"/>
      <c r="B29" s="5"/>
      <c r="C29" s="5"/>
      <c r="D29" s="5"/>
      <c r="E29" s="5"/>
      <c r="F29" s="5"/>
      <c r="G29" s="5"/>
      <c r="H29" s="5"/>
      <c r="I29" s="5"/>
      <c r="J29" s="23"/>
      <c r="K29" s="5"/>
      <c r="L29" s="5"/>
      <c r="M29" s="5"/>
      <c r="N29" s="5"/>
      <c r="O29" s="5"/>
    </row>
    <row r="30" spans="1:17" x14ac:dyDescent="0.35">
      <c r="A30" s="5"/>
      <c r="B30" s="5" t="s">
        <v>49</v>
      </c>
      <c r="C30" s="5"/>
      <c r="D30" s="5"/>
      <c r="E30" s="5"/>
      <c r="F30" s="5"/>
      <c r="G30" s="5"/>
      <c r="H30" s="5"/>
      <c r="I30" s="5"/>
      <c r="J30" s="23"/>
      <c r="K30" s="5"/>
      <c r="L30" s="5"/>
      <c r="M30" s="5"/>
      <c r="N30" s="5"/>
      <c r="O30" s="5"/>
    </row>
    <row r="31" spans="1:17" ht="8.25" customHeight="1" x14ac:dyDescent="0.35">
      <c r="A31" s="5"/>
      <c r="B31" s="5"/>
      <c r="C31" s="5"/>
      <c r="D31" s="5"/>
      <c r="E31" s="5"/>
      <c r="F31" s="5"/>
      <c r="G31" s="5"/>
      <c r="H31" s="5"/>
      <c r="I31" s="5"/>
      <c r="J31" s="23"/>
      <c r="K31" s="5"/>
      <c r="L31" s="5"/>
      <c r="M31" s="5"/>
      <c r="N31" s="5"/>
      <c r="O31" s="5"/>
    </row>
    <row r="32" spans="1:17" x14ac:dyDescent="0.35">
      <c r="A32" s="5"/>
      <c r="B32" s="5" t="s">
        <v>50</v>
      </c>
      <c r="D32" s="5"/>
      <c r="E32" s="5"/>
      <c r="F32" s="5"/>
      <c r="G32" s="6" t="s">
        <v>2</v>
      </c>
      <c r="H32" s="7">
        <v>1</v>
      </c>
      <c r="I32" s="5" t="s">
        <v>40</v>
      </c>
      <c r="J32" s="5"/>
      <c r="K32" s="5"/>
      <c r="L32" s="23"/>
      <c r="M32" s="5"/>
      <c r="N32" s="5"/>
      <c r="O32" s="5"/>
      <c r="P32" s="5"/>
      <c r="Q32" s="5"/>
    </row>
    <row r="33" spans="1:18" x14ac:dyDescent="0.35">
      <c r="A33" s="5"/>
      <c r="B33" s="5"/>
      <c r="C33" s="5"/>
      <c r="D33" s="5"/>
      <c r="E33" s="5"/>
      <c r="F33" s="5"/>
      <c r="G33" s="6" t="s">
        <v>3</v>
      </c>
      <c r="H33" s="7">
        <v>1.4314588059005988</v>
      </c>
      <c r="I33" s="5"/>
      <c r="J33" s="5"/>
      <c r="K33" s="5"/>
      <c r="L33" s="5"/>
      <c r="M33" s="5"/>
      <c r="N33" s="5"/>
      <c r="O33" s="5"/>
      <c r="P33" s="5"/>
      <c r="Q33" s="5"/>
    </row>
    <row r="34" spans="1:18" x14ac:dyDescent="0.35">
      <c r="A34" s="5"/>
      <c r="B34" s="6"/>
      <c r="C34" s="7"/>
      <c r="D34" s="7"/>
      <c r="E34" s="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8" ht="13.15" thickBot="1" x14ac:dyDescent="0.4">
      <c r="A35" s="9"/>
      <c r="B35" s="10" t="s">
        <v>38</v>
      </c>
      <c r="C35" s="26" t="str">
        <f>D6</f>
        <v>xf</v>
      </c>
      <c r="D35" s="26" t="s">
        <v>51</v>
      </c>
      <c r="E35" s="26" t="s">
        <v>52</v>
      </c>
      <c r="F35" s="10" t="s">
        <v>32</v>
      </c>
      <c r="G35" s="10" t="s">
        <v>6</v>
      </c>
      <c r="H35" s="10" t="s">
        <v>47</v>
      </c>
      <c r="I35" s="5"/>
      <c r="J35" s="6" t="s">
        <v>53</v>
      </c>
      <c r="K35" s="9">
        <v>1.1000000000000001</v>
      </c>
      <c r="L35" s="6" t="s">
        <v>22</v>
      </c>
      <c r="M35" s="5">
        <f>(K39-K38)/(K39+1)</f>
        <v>0.58552414697551824</v>
      </c>
      <c r="N35" s="5"/>
      <c r="O35" s="5"/>
      <c r="P35" s="5"/>
    </row>
    <row r="36" spans="1:18" ht="13.15" thickTop="1" x14ac:dyDescent="0.35">
      <c r="A36" s="6"/>
      <c r="B36" s="11" t="s">
        <v>34</v>
      </c>
      <c r="C36" s="25">
        <f>D7</f>
        <v>3.6412461201566202E-3</v>
      </c>
      <c r="D36" s="28">
        <f>Prefrac!E48+K20</f>
        <v>0.86898811146820387</v>
      </c>
      <c r="E36" s="25">
        <f>D36/$D$40</f>
        <v>2.6509397339876399E-3</v>
      </c>
      <c r="F36" s="12">
        <f>F7</f>
        <v>5.4288999999999996</v>
      </c>
      <c r="G36" s="12">
        <f>(F36*C36)/(F36-$H$33)</f>
        <v>4.9451536875383291E-3</v>
      </c>
      <c r="H36" s="12">
        <f>(F7*E36)/(F7-$H$33)</f>
        <v>3.6002247495445288E-3</v>
      </c>
      <c r="I36" s="5"/>
      <c r="J36" s="5"/>
      <c r="K36" s="5"/>
      <c r="L36" s="6" t="s">
        <v>23</v>
      </c>
      <c r="M36" s="5">
        <f>1-EXP((1+54.4*M35)/(11+117.2*M35)*(M35-1)/M35^0.5)</f>
        <v>0.20027565201778763</v>
      </c>
      <c r="N36" s="5"/>
      <c r="O36" s="5"/>
      <c r="P36" s="5"/>
    </row>
    <row r="37" spans="1:18" x14ac:dyDescent="0.35">
      <c r="A37" s="6" t="s">
        <v>16</v>
      </c>
      <c r="B37" s="13" t="s">
        <v>9</v>
      </c>
      <c r="C37" s="24">
        <f>D8</f>
        <v>0.4551557650195765</v>
      </c>
      <c r="D37" s="28">
        <f>Prefrac!E49+K21</f>
        <v>109.37343663784348</v>
      </c>
      <c r="E37" s="25">
        <f t="shared" ref="E37:E39" si="3">D37/$D$40</f>
        <v>0.3336551849209593</v>
      </c>
      <c r="F37" s="12">
        <f>F8</f>
        <v>2.33</v>
      </c>
      <c r="G37" s="12">
        <f>(F37*C37)/(F37-$H$33)</f>
        <v>1.180260782098649</v>
      </c>
      <c r="H37" s="12">
        <f t="shared" ref="H37:H39" si="4">(F8*E37)/(F8-$H$33)</f>
        <v>0.86519859742772498</v>
      </c>
      <c r="I37" s="5"/>
      <c r="J37" s="4" t="s">
        <v>48</v>
      </c>
      <c r="K37" s="3">
        <f>-H40*D40</f>
        <v>191.57838608583563</v>
      </c>
      <c r="L37" s="6" t="s">
        <v>24</v>
      </c>
      <c r="M37" s="5">
        <f>(M36+D26)/(1-M36)</f>
        <v>13.836186136156995</v>
      </c>
      <c r="N37" s="6"/>
      <c r="O37" s="9"/>
    </row>
    <row r="38" spans="1:18" x14ac:dyDescent="0.35">
      <c r="A38" s="6" t="s">
        <v>17</v>
      </c>
      <c r="B38" s="13" t="s">
        <v>35</v>
      </c>
      <c r="C38" s="24">
        <f>D9</f>
        <v>0.45060420736938067</v>
      </c>
      <c r="D38" s="28">
        <f>Prefrac!E50+K22</f>
        <v>181.04470227146504</v>
      </c>
      <c r="E38" s="25">
        <f t="shared" si="3"/>
        <v>0.55229592734992194</v>
      </c>
      <c r="F38" s="12">
        <f>F9</f>
        <v>1</v>
      </c>
      <c r="G38" s="12">
        <f>(F38*C38)/(F38-$H$33)</f>
        <v>-1.0443736486703963</v>
      </c>
      <c r="H38" s="12">
        <f t="shared" si="4"/>
        <v>-1.280066416067452</v>
      </c>
      <c r="I38" s="5"/>
      <c r="J38" s="6" t="s">
        <v>20</v>
      </c>
      <c r="K38" s="5">
        <f>K37/I24-1</f>
        <v>1.5332315791549269</v>
      </c>
      <c r="L38" s="5"/>
      <c r="M38" s="5"/>
      <c r="N38" s="6"/>
      <c r="O38" s="9"/>
      <c r="P38" s="5"/>
    </row>
    <row r="39" spans="1:18" x14ac:dyDescent="0.35">
      <c r="A39" s="6"/>
      <c r="B39" s="13" t="s">
        <v>7</v>
      </c>
      <c r="C39" s="24">
        <f>D10</f>
        <v>9.0598781490886141E-2</v>
      </c>
      <c r="D39" s="28">
        <f>Prefrac!E51+K23</f>
        <v>36.516670374888875</v>
      </c>
      <c r="E39" s="25">
        <f t="shared" si="3"/>
        <v>0.11139794799513118</v>
      </c>
      <c r="F39" s="12">
        <f>F10</f>
        <v>0.87108013937282236</v>
      </c>
      <c r="G39" s="12">
        <f>(F39*C39)/(F39-$H$33)</f>
        <v>-0.14083119847706976</v>
      </c>
      <c r="H39" s="12">
        <f t="shared" si="4"/>
        <v>-0.17316244507790421</v>
      </c>
      <c r="I39" s="5"/>
      <c r="J39" s="4" t="s">
        <v>21</v>
      </c>
      <c r="K39" s="2">
        <f>MAX('2Top'!K38*'2Top'!K35,'2Bottom'!K38*'2Bottom'!K35)</f>
        <v>5.1118918283649624</v>
      </c>
      <c r="L39" s="6" t="s">
        <v>25</v>
      </c>
      <c r="M39" s="5">
        <f>0.206*LOG((K24/I24)*(C38/C37)*(L21/J22)^2,10)</f>
        <v>-1.3822173564625116E-2</v>
      </c>
      <c r="N39" s="6"/>
      <c r="O39" s="9"/>
      <c r="P39" s="5"/>
    </row>
    <row r="40" spans="1:18" x14ac:dyDescent="0.35">
      <c r="A40" s="9"/>
      <c r="B40" s="11" t="s">
        <v>29</v>
      </c>
      <c r="C40" s="25">
        <f t="shared" ref="C40" si="5">D11</f>
        <v>1</v>
      </c>
      <c r="D40" s="28">
        <f>SUM(D36:D39)</f>
        <v>327.80379739566558</v>
      </c>
      <c r="E40" s="28">
        <f>SUM(E36:E39)</f>
        <v>1.0000000000000002</v>
      </c>
      <c r="F40" s="27"/>
      <c r="G40" s="12">
        <f>SUM(G36:G39)+H32</f>
        <v>1.0000010886387212</v>
      </c>
      <c r="H40" s="12">
        <f>SUM(H36:H39)</f>
        <v>-0.58443003896808665</v>
      </c>
      <c r="I40" s="5"/>
      <c r="J40" s="5"/>
      <c r="K40" s="5"/>
      <c r="L40" s="6" t="s">
        <v>26</v>
      </c>
      <c r="M40" s="5">
        <f>M37-M41</f>
        <v>6.8080122171641841</v>
      </c>
      <c r="N40" s="6" t="s">
        <v>33</v>
      </c>
      <c r="O40" s="9">
        <f t="shared" ref="O40:O41" si="6">ROUNDUP(M40,0)</f>
        <v>7</v>
      </c>
      <c r="P40" s="5"/>
    </row>
    <row r="41" spans="1:18" x14ac:dyDescent="0.35">
      <c r="A41" s="9"/>
      <c r="B41" s="15"/>
      <c r="C41" s="9"/>
      <c r="D41" s="9"/>
      <c r="E41" s="9"/>
      <c r="F41" s="9"/>
      <c r="G41" s="9" t="s">
        <v>28</v>
      </c>
      <c r="H41" s="5"/>
      <c r="I41" s="5"/>
      <c r="K41" s="5"/>
      <c r="L41" s="6" t="s">
        <v>27</v>
      </c>
      <c r="M41" s="5">
        <f>M37/(1+10^M39)</f>
        <v>7.0281739189928105</v>
      </c>
      <c r="N41" s="6" t="s">
        <v>33</v>
      </c>
      <c r="O41" s="9">
        <f t="shared" si="6"/>
        <v>8</v>
      </c>
      <c r="P41" s="5"/>
      <c r="Q41" s="5"/>
      <c r="R41" s="5"/>
    </row>
    <row r="42" spans="1:18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8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8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8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8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8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x14ac:dyDescent="0.35">
      <c r="A95" s="5"/>
      <c r="I95" s="5"/>
      <c r="J95" s="5"/>
      <c r="K95" s="5"/>
      <c r="L95" s="5"/>
      <c r="M95" s="5"/>
      <c r="N95" s="5"/>
      <c r="O95" s="5"/>
      <c r="P95" s="5"/>
    </row>
  </sheetData>
  <sheetProtection selectLockedCells="1" selectUnlockedCells="1"/>
  <mergeCells count="1">
    <mergeCell ref="J18:M18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0BF1F-5C39-41C0-A4DD-C37D59A779E7}">
  <dimension ref="A1:P95"/>
  <sheetViews>
    <sheetView zoomScaleSheetLayoutView="10" workbookViewId="0"/>
  </sheetViews>
  <sheetFormatPr defaultColWidth="11.59765625" defaultRowHeight="12.75" x14ac:dyDescent="0.35"/>
  <cols>
    <col min="1" max="1" width="6.3984375" style="1" customWidth="1"/>
    <col min="2" max="2" width="11.59765625" style="1"/>
    <col min="3" max="3" width="12.3984375" style="1" customWidth="1"/>
    <col min="4" max="4" width="12" style="1" bestFit="1" customWidth="1"/>
    <col min="5" max="10" width="11.59765625" style="1"/>
    <col min="11" max="11" width="14.3984375" style="1" customWidth="1"/>
    <col min="12" max="12" width="13.3984375" style="1" customWidth="1"/>
    <col min="13" max="13" width="11.59765625" style="1"/>
    <col min="14" max="14" width="3.1328125" style="1" customWidth="1"/>
    <col min="15" max="15" width="8.265625" style="1" customWidth="1"/>
    <col min="16" max="16384" width="11.59765625" style="1"/>
  </cols>
  <sheetData>
    <row r="1" spans="1:16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35">
      <c r="A2" s="5"/>
      <c r="B2" s="5" t="s">
        <v>30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5">
      <c r="A3" s="5"/>
      <c r="B3" s="5"/>
      <c r="C3" s="5"/>
      <c r="D3" s="5"/>
      <c r="E3" s="5"/>
      <c r="F3" s="6"/>
      <c r="G3" s="7"/>
      <c r="H3" s="6"/>
      <c r="I3" s="5"/>
      <c r="J3" s="5"/>
      <c r="K3" s="5"/>
      <c r="L3" s="5"/>
      <c r="M3" s="5"/>
      <c r="N3" s="5"/>
      <c r="O3" s="5"/>
      <c r="P3" s="5"/>
    </row>
    <row r="4" spans="1:16" x14ac:dyDescent="0.35">
      <c r="A4" s="5"/>
      <c r="B4" s="5"/>
      <c r="C4" s="5"/>
      <c r="D4" s="5"/>
      <c r="E4" s="5"/>
      <c r="F4" s="6"/>
      <c r="G4" s="8"/>
      <c r="H4" s="6"/>
      <c r="I4" s="5"/>
      <c r="J4" s="5"/>
      <c r="K4" s="5"/>
      <c r="L4" s="5"/>
      <c r="M4" s="5"/>
      <c r="N4" s="5"/>
      <c r="O4" s="5"/>
      <c r="P4" s="5"/>
    </row>
    <row r="5" spans="1:16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8.75" customHeight="1" thickBot="1" x14ac:dyDescent="0.4">
      <c r="A6" s="9"/>
      <c r="B6" s="10" t="s">
        <v>38</v>
      </c>
      <c r="C6" s="10" t="s">
        <v>4</v>
      </c>
      <c r="D6" s="10" t="s">
        <v>5</v>
      </c>
      <c r="E6" s="10" t="s">
        <v>42</v>
      </c>
      <c r="F6" s="10" t="s">
        <v>32</v>
      </c>
      <c r="G6" s="5"/>
      <c r="H6" s="5"/>
      <c r="I6" s="5"/>
      <c r="J6" s="5"/>
      <c r="K6" s="5"/>
      <c r="L6" s="5"/>
      <c r="M6" s="5"/>
    </row>
    <row r="7" spans="1:16" ht="13.15" thickTop="1" x14ac:dyDescent="0.35">
      <c r="A7" s="6"/>
      <c r="B7" s="11" t="s">
        <v>34</v>
      </c>
      <c r="C7" s="11">
        <f>'2Bottom'!K20</f>
        <v>6.1836545395266285E-7</v>
      </c>
      <c r="D7" s="11">
        <f>C7/$C$11</f>
        <v>6.9360284624542886E-9</v>
      </c>
      <c r="E7" s="12">
        <f>E8*2.33</f>
        <v>6.2323771999999993</v>
      </c>
      <c r="F7" s="14">
        <f t="shared" ref="F7:F9" si="0">E7/$E$10</f>
        <v>6.2323771999999993</v>
      </c>
      <c r="G7" s="5"/>
      <c r="H7" s="5"/>
      <c r="I7" s="5"/>
      <c r="J7" s="5"/>
      <c r="K7" s="5"/>
      <c r="L7" s="5"/>
      <c r="M7" s="5"/>
    </row>
    <row r="8" spans="1:16" x14ac:dyDescent="0.35">
      <c r="A8" s="9"/>
      <c r="B8" s="13" t="s">
        <v>9</v>
      </c>
      <c r="C8" s="11">
        <f>'2Bottom'!K21</f>
        <v>0.75</v>
      </c>
      <c r="D8" s="11">
        <f t="shared" ref="D8:D10" si="1">C8/$C$11</f>
        <v>8.4125355218161047E-3</v>
      </c>
      <c r="E8" s="14">
        <f>E9*2.33</f>
        <v>2.6748399999999997</v>
      </c>
      <c r="F8" s="14">
        <f t="shared" si="0"/>
        <v>2.6748399999999997</v>
      </c>
      <c r="G8" s="5"/>
      <c r="H8" s="5"/>
      <c r="I8" s="5"/>
      <c r="J8" s="5"/>
      <c r="K8" s="5"/>
      <c r="L8" s="5"/>
      <c r="M8" s="5"/>
    </row>
    <row r="9" spans="1:16" x14ac:dyDescent="0.35">
      <c r="A9" s="6" t="s">
        <v>16</v>
      </c>
      <c r="B9" s="13" t="s">
        <v>35</v>
      </c>
      <c r="C9" s="11">
        <f>'2Bottom'!K22</f>
        <v>73.507499999999993</v>
      </c>
      <c r="D9" s="11">
        <f t="shared" si="1"/>
        <v>0.82451260649319624</v>
      </c>
      <c r="E9" s="14">
        <v>1.1479999999999999</v>
      </c>
      <c r="F9" s="14">
        <f t="shared" si="0"/>
        <v>1.1479999999999999</v>
      </c>
      <c r="G9" s="5"/>
      <c r="H9" s="5"/>
      <c r="I9" s="5"/>
      <c r="J9" s="5"/>
      <c r="K9" s="5"/>
      <c r="L9" s="5"/>
      <c r="M9" s="5"/>
    </row>
    <row r="10" spans="1:16" x14ac:dyDescent="0.35">
      <c r="A10" s="6" t="s">
        <v>17</v>
      </c>
      <c r="B10" s="13" t="s">
        <v>7</v>
      </c>
      <c r="C10" s="11">
        <f>'2Bottom'!K23</f>
        <v>14.89516899652487</v>
      </c>
      <c r="D10" s="11">
        <f t="shared" si="1"/>
        <v>0.16707485104895919</v>
      </c>
      <c r="E10" s="14">
        <v>1</v>
      </c>
      <c r="F10" s="14">
        <f>E10/$E$10</f>
        <v>1</v>
      </c>
      <c r="G10" s="5"/>
      <c r="H10" s="5"/>
      <c r="I10" s="5"/>
      <c r="J10" s="5"/>
      <c r="K10" s="5"/>
      <c r="L10" s="5"/>
      <c r="M10" s="5"/>
    </row>
    <row r="11" spans="1:16" x14ac:dyDescent="0.35">
      <c r="A11" s="9"/>
      <c r="B11" s="11" t="s">
        <v>29</v>
      </c>
      <c r="C11" s="11">
        <f>SUM(C7:C10)</f>
        <v>89.152669614890314</v>
      </c>
      <c r="D11" s="12">
        <f>SUM(D7:D10)</f>
        <v>1</v>
      </c>
      <c r="E11" s="12"/>
      <c r="F11" s="12"/>
      <c r="G11" s="5"/>
      <c r="H11" s="5"/>
      <c r="I11" s="5"/>
      <c r="J11" s="5"/>
      <c r="K11" s="5"/>
      <c r="L11" s="5"/>
      <c r="M11" s="5"/>
    </row>
    <row r="12" spans="1:16" x14ac:dyDescent="0.35">
      <c r="A12" s="9"/>
      <c r="B12" s="9"/>
      <c r="C12" s="9"/>
      <c r="D12" s="9"/>
      <c r="E12" s="9"/>
      <c r="F12" s="9"/>
      <c r="G12" s="5"/>
      <c r="H12" s="5"/>
      <c r="I12" s="5"/>
      <c r="J12" s="5"/>
      <c r="K12" s="5"/>
      <c r="L12" s="5"/>
      <c r="M12" s="5"/>
    </row>
    <row r="13" spans="1:16" ht="8.25" customHeight="1" x14ac:dyDescent="0.35">
      <c r="A13" s="5"/>
      <c r="B13" s="5"/>
      <c r="C13" s="5"/>
      <c r="D13" s="5"/>
      <c r="E13" s="5"/>
      <c r="F13" s="5"/>
      <c r="G13" s="5"/>
      <c r="H13" s="5"/>
      <c r="I13" s="9"/>
      <c r="J13" s="5"/>
      <c r="K13" s="5"/>
      <c r="L13" s="5"/>
      <c r="M13" s="5"/>
      <c r="N13" s="5"/>
      <c r="O13" s="5"/>
      <c r="P13" s="5"/>
    </row>
    <row r="14" spans="1:16" x14ac:dyDescent="0.35">
      <c r="A14" s="5"/>
      <c r="B14" s="16" t="s">
        <v>36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7.5" customHeight="1" x14ac:dyDescent="0.35">
      <c r="A15" s="5"/>
      <c r="B15" s="1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35">
      <c r="A16" s="5"/>
      <c r="B16" s="16"/>
      <c r="C16" s="5" t="s">
        <v>0</v>
      </c>
      <c r="D16" s="7">
        <v>0.99</v>
      </c>
      <c r="E16" s="7" t="s">
        <v>37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35">
      <c r="A17" s="5"/>
      <c r="B17" s="16"/>
      <c r="C17" s="5" t="s">
        <v>1</v>
      </c>
      <c r="D17" s="7">
        <v>0.01</v>
      </c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35">
      <c r="A18" s="5"/>
      <c r="B18" s="5"/>
      <c r="C18" s="5"/>
      <c r="D18" s="5"/>
      <c r="E18" s="5"/>
      <c r="F18" s="5"/>
      <c r="G18" s="5"/>
      <c r="H18" s="5"/>
      <c r="I18" s="5"/>
      <c r="J18" s="43"/>
      <c r="K18" s="43"/>
      <c r="L18" s="43"/>
      <c r="M18" s="43"/>
      <c r="N18" s="5"/>
      <c r="O18" s="5"/>
      <c r="P18" s="5"/>
    </row>
    <row r="19" spans="1:16" ht="21.75" customHeight="1" thickBot="1" x14ac:dyDescent="0.4">
      <c r="A19" s="9"/>
      <c r="B19" s="10" t="s">
        <v>38</v>
      </c>
      <c r="C19" s="21" t="s">
        <v>7</v>
      </c>
      <c r="D19" s="21" t="s">
        <v>9</v>
      </c>
      <c r="E19" s="10" t="s">
        <v>11</v>
      </c>
      <c r="F19" s="10" t="s">
        <v>12</v>
      </c>
      <c r="G19" s="10" t="s">
        <v>11</v>
      </c>
      <c r="H19" s="10" t="s">
        <v>13</v>
      </c>
      <c r="I19" s="22" t="s">
        <v>7</v>
      </c>
      <c r="J19" s="22" t="s">
        <v>8</v>
      </c>
      <c r="K19" s="22" t="s">
        <v>9</v>
      </c>
      <c r="L19" s="22" t="s">
        <v>10</v>
      </c>
      <c r="M19" s="5"/>
      <c r="N19" s="5"/>
      <c r="O19" s="5"/>
    </row>
    <row r="20" spans="1:16" ht="13.15" thickTop="1" x14ac:dyDescent="0.35">
      <c r="A20" s="6"/>
      <c r="B20" s="11" t="s">
        <v>34</v>
      </c>
      <c r="C20" s="17" t="s">
        <v>15</v>
      </c>
      <c r="D20" s="19" t="s">
        <v>15</v>
      </c>
      <c r="E20" s="13" t="s">
        <v>15</v>
      </c>
      <c r="F20" s="11">
        <f>LOG(F7)</f>
        <v>0.79465373011399265</v>
      </c>
      <c r="G20" s="11">
        <f>$G$26+$D$26*F20</f>
        <v>50.916910693000041</v>
      </c>
      <c r="H20" s="11">
        <f>10^G20</f>
        <v>8.2586810310272828E+50</v>
      </c>
      <c r="I20" s="20">
        <f>C7/(1+1/H20)</f>
        <v>6.1836545395266285E-7</v>
      </c>
      <c r="J20" s="20">
        <f>I20/$I$24</f>
        <v>8.3935644553605852E-9</v>
      </c>
      <c r="K20" s="20">
        <f>C7-I20</f>
        <v>0</v>
      </c>
      <c r="L20" s="20">
        <f>K20/$K$24</f>
        <v>0</v>
      </c>
      <c r="M20" s="5"/>
      <c r="N20" s="5"/>
      <c r="O20" s="5"/>
    </row>
    <row r="21" spans="1:16" x14ac:dyDescent="0.35">
      <c r="A21" s="9"/>
      <c r="B21" s="13" t="s">
        <v>9</v>
      </c>
      <c r="C21" s="17" t="s">
        <v>15</v>
      </c>
      <c r="D21" s="17" t="s">
        <v>15</v>
      </c>
      <c r="E21" s="13" t="s">
        <v>15</v>
      </c>
      <c r="F21" s="13">
        <f>LOG(F8)</f>
        <v>0.42729780908797366</v>
      </c>
      <c r="G21" s="13">
        <f>$G$26+$D$26*F21</f>
        <v>26.456272943798794</v>
      </c>
      <c r="H21" s="13">
        <f t="shared" ref="H21:H23" si="2">10^G21</f>
        <v>2.8593870358377388E+26</v>
      </c>
      <c r="I21" s="18">
        <f>C8/(1+1/H21)</f>
        <v>0.75</v>
      </c>
      <c r="J21" s="18">
        <f>I21/$I$24</f>
        <v>1.0180344489299926E-2</v>
      </c>
      <c r="K21" s="18">
        <f>C8-I21</f>
        <v>0</v>
      </c>
      <c r="L21" s="18">
        <f>K21/$K$24</f>
        <v>0</v>
      </c>
      <c r="M21" s="5"/>
      <c r="N21" s="5"/>
      <c r="O21" s="5"/>
    </row>
    <row r="22" spans="1:16" x14ac:dyDescent="0.35">
      <c r="A22" s="6" t="s">
        <v>16</v>
      </c>
      <c r="B22" s="13" t="s">
        <v>35</v>
      </c>
      <c r="C22" s="17">
        <f>C9*D16</f>
        <v>72.772424999999998</v>
      </c>
      <c r="D22" s="17">
        <f>C9-C22</f>
        <v>0.73507499999999482</v>
      </c>
      <c r="E22" s="13">
        <f>LOG(C22/D22)</f>
        <v>1.995635194597553</v>
      </c>
      <c r="F22" s="13">
        <f>LOG(F9)</f>
        <v>5.9941888061954683E-2</v>
      </c>
      <c r="G22" s="13">
        <f>$G$26+$D$26*F22</f>
        <v>1.9956351945975528</v>
      </c>
      <c r="H22" s="13">
        <f t="shared" si="2"/>
        <v>99.000000000000696</v>
      </c>
      <c r="I22" s="18">
        <f>C9/(1+1/H22)</f>
        <v>72.772424999999998</v>
      </c>
      <c r="J22" s="18">
        <f>I22/$I$24</f>
        <v>0.98779780776232295</v>
      </c>
      <c r="K22" s="18">
        <f>C9-I22</f>
        <v>0.73507499999999482</v>
      </c>
      <c r="L22" s="18">
        <f>K22/$K$24</f>
        <v>4.7481501249642732E-2</v>
      </c>
      <c r="M22" s="5"/>
      <c r="N22" s="5"/>
      <c r="O22" s="5"/>
    </row>
    <row r="23" spans="1:16" x14ac:dyDescent="0.35">
      <c r="A23" s="6" t="s">
        <v>17</v>
      </c>
      <c r="B23" s="13" t="s">
        <v>7</v>
      </c>
      <c r="C23" s="17">
        <f>C10*D17</f>
        <v>0.14895168996524871</v>
      </c>
      <c r="D23" s="17">
        <f>C10-C23</f>
        <v>14.746217306559622</v>
      </c>
      <c r="E23" s="13">
        <f>LOG(C23/D23)</f>
        <v>-1.9956351945975499</v>
      </c>
      <c r="F23" s="13">
        <f>LOG(F10)</f>
        <v>0</v>
      </c>
      <c r="G23" s="13">
        <f>$G$26+$D$26*F23</f>
        <v>-1.9956351945975497</v>
      </c>
      <c r="H23" s="13">
        <f t="shared" si="2"/>
        <v>1.0101010101010102E-2</v>
      </c>
      <c r="I23" s="18">
        <f>C10/(1+1/H23)</f>
        <v>0.14895168996524871</v>
      </c>
      <c r="J23" s="18">
        <f>I23/$I$24</f>
        <v>2.0218393548128411E-3</v>
      </c>
      <c r="K23" s="18">
        <f>C10-I23</f>
        <v>14.746217306559622</v>
      </c>
      <c r="L23" s="18">
        <f>K23/$K$24</f>
        <v>0.95251849875035732</v>
      </c>
      <c r="M23" s="5"/>
      <c r="N23" s="5"/>
      <c r="O23" s="5"/>
    </row>
    <row r="24" spans="1:16" x14ac:dyDescent="0.35">
      <c r="A24" s="9"/>
      <c r="B24" s="11" t="s">
        <v>29</v>
      </c>
      <c r="C24" s="11"/>
      <c r="D24" s="11"/>
      <c r="E24" s="11"/>
      <c r="F24" s="11"/>
      <c r="G24" s="11"/>
      <c r="H24" s="11"/>
      <c r="I24" s="20">
        <f>SUM(I20:I23)</f>
        <v>73.67137730833069</v>
      </c>
      <c r="J24" s="20">
        <f>SUM(J20:J23)</f>
        <v>1.0000000000000002</v>
      </c>
      <c r="K24" s="20">
        <f>SUM(K20:K23)</f>
        <v>15.481292306559617</v>
      </c>
      <c r="L24" s="20">
        <f>SUM(L20:L23)</f>
        <v>1</v>
      </c>
      <c r="M24" s="5"/>
      <c r="N24" s="5"/>
      <c r="O24" s="5"/>
    </row>
    <row r="25" spans="1:16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6" x14ac:dyDescent="0.35">
      <c r="A26" s="5"/>
      <c r="B26" s="5"/>
      <c r="C26" s="6" t="s">
        <v>18</v>
      </c>
      <c r="D26" s="5">
        <f>LOG(C22/C23*D23/D22,10)/LOG(F9/F10,10)</f>
        <v>66.585663519137213</v>
      </c>
      <c r="E26" s="5"/>
      <c r="F26" s="6" t="s">
        <v>19</v>
      </c>
      <c r="G26" s="5">
        <f>LOG(C23/D23*F10^(-D26),10)</f>
        <v>-1.9956351945975497</v>
      </c>
      <c r="H26" s="5"/>
      <c r="I26" s="5"/>
      <c r="J26" s="5"/>
      <c r="K26" s="5"/>
      <c r="L26" s="5"/>
      <c r="M26" s="5"/>
      <c r="N26" s="5"/>
      <c r="O26" s="5"/>
    </row>
    <row r="27" spans="1:16" x14ac:dyDescent="0.35">
      <c r="A27" s="5"/>
      <c r="B27" s="5"/>
      <c r="C27" s="5"/>
      <c r="D27" s="5"/>
      <c r="E27" s="5"/>
      <c r="F27" s="5"/>
      <c r="G27" s="5">
        <f>LOG(C22/D22*F9^(-D26),10)</f>
        <v>-1.9956351945975497</v>
      </c>
      <c r="H27" s="5"/>
      <c r="I27" s="5"/>
      <c r="J27" s="5"/>
      <c r="K27" s="5"/>
      <c r="L27" s="5"/>
      <c r="M27" s="5"/>
      <c r="N27" s="5"/>
      <c r="O27" s="5"/>
    </row>
    <row r="28" spans="1:16" ht="6.75" customHeight="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6" ht="5.25" customHeight="1" x14ac:dyDescent="0.35">
      <c r="A29" s="5"/>
      <c r="B29" s="5"/>
      <c r="C29" s="5"/>
      <c r="D29" s="5"/>
      <c r="E29" s="5"/>
      <c r="F29" s="5"/>
      <c r="G29" s="5"/>
      <c r="H29" s="5"/>
      <c r="I29" s="5"/>
      <c r="J29" s="23"/>
      <c r="K29" s="5"/>
      <c r="L29" s="5"/>
      <c r="M29" s="5"/>
      <c r="N29" s="5"/>
      <c r="O29" s="5"/>
    </row>
    <row r="30" spans="1:16" x14ac:dyDescent="0.35">
      <c r="A30" s="5"/>
      <c r="B30" s="5" t="s">
        <v>31</v>
      </c>
      <c r="C30" s="5"/>
      <c r="D30" s="5"/>
      <c r="E30" s="5"/>
      <c r="F30" s="5"/>
      <c r="G30" s="5"/>
      <c r="H30" s="5"/>
      <c r="I30" s="5"/>
      <c r="J30" s="23"/>
      <c r="K30" s="5"/>
      <c r="L30" s="5"/>
      <c r="M30" s="5"/>
      <c r="N30" s="5"/>
      <c r="O30" s="5"/>
    </row>
    <row r="31" spans="1:16" ht="8.25" customHeight="1" x14ac:dyDescent="0.35">
      <c r="A31" s="5"/>
      <c r="B31" s="5"/>
      <c r="C31" s="5"/>
      <c r="D31" s="5"/>
      <c r="E31" s="5"/>
      <c r="F31" s="5"/>
      <c r="G31" s="5"/>
      <c r="H31" s="5"/>
      <c r="I31" s="5"/>
      <c r="J31" s="23"/>
      <c r="K31" s="5"/>
      <c r="L31" s="5"/>
      <c r="M31" s="5"/>
      <c r="N31" s="5"/>
      <c r="O31" s="5"/>
    </row>
    <row r="32" spans="1:16" x14ac:dyDescent="0.35">
      <c r="A32" s="5"/>
      <c r="B32" s="5"/>
      <c r="C32" s="5"/>
      <c r="D32" s="5"/>
      <c r="E32" s="6" t="s">
        <v>2</v>
      </c>
      <c r="F32" s="7">
        <v>1</v>
      </c>
      <c r="G32" s="5" t="s">
        <v>40</v>
      </c>
      <c r="H32" s="5"/>
      <c r="I32" s="5"/>
      <c r="J32" s="23"/>
      <c r="K32" s="5"/>
      <c r="L32" s="5"/>
      <c r="M32" s="5"/>
      <c r="N32" s="5"/>
      <c r="O32" s="5"/>
    </row>
    <row r="33" spans="1:16" x14ac:dyDescent="0.35">
      <c r="A33" s="5"/>
      <c r="B33" s="5"/>
      <c r="C33" s="5"/>
      <c r="D33" s="5"/>
      <c r="E33" s="6" t="s">
        <v>3</v>
      </c>
      <c r="F33" s="7">
        <v>1.0221702049312853</v>
      </c>
      <c r="G33" s="5"/>
      <c r="H33" s="5"/>
      <c r="I33" s="5"/>
      <c r="J33" s="5"/>
      <c r="K33" s="5"/>
      <c r="L33" s="5"/>
      <c r="M33" s="5"/>
      <c r="N33" s="5"/>
      <c r="O33" s="5"/>
    </row>
    <row r="34" spans="1:16" x14ac:dyDescent="0.35">
      <c r="A34" s="5"/>
      <c r="B34" s="6"/>
      <c r="C34" s="7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6" ht="13.15" thickBot="1" x14ac:dyDescent="0.4">
      <c r="A35" s="9"/>
      <c r="B35" s="10" t="s">
        <v>38</v>
      </c>
      <c r="C35" s="26" t="str">
        <f>D6</f>
        <v>xf</v>
      </c>
      <c r="D35" s="10" t="s">
        <v>32</v>
      </c>
      <c r="E35" s="10" t="s">
        <v>6</v>
      </c>
      <c r="F35" s="10" t="s">
        <v>14</v>
      </c>
      <c r="H35" s="6" t="s">
        <v>53</v>
      </c>
      <c r="I35" s="9">
        <v>1.1000000000000001</v>
      </c>
      <c r="J35" s="6" t="s">
        <v>22</v>
      </c>
      <c r="K35" s="5">
        <f>(I38-I37)/(I38+1)</f>
        <v>8.1567000144950011E-2</v>
      </c>
      <c r="L35" s="5"/>
      <c r="M35" s="5"/>
      <c r="N35" s="5"/>
    </row>
    <row r="36" spans="1:16" ht="13.15" thickTop="1" x14ac:dyDescent="0.35">
      <c r="A36" s="6"/>
      <c r="B36" s="11" t="s">
        <v>34</v>
      </c>
      <c r="C36" s="25">
        <f>D7</f>
        <v>6.9360284624542886E-9</v>
      </c>
      <c r="D36" s="12">
        <f>F7</f>
        <v>6.2323771999999993</v>
      </c>
      <c r="E36" s="12">
        <f>(D36*C36)/(D36-$F$33)</f>
        <v>8.2967808551301248E-9</v>
      </c>
      <c r="F36" s="12">
        <f>(F7*J20)/(F7-$F$33)</f>
        <v>1.0040265154115977E-8</v>
      </c>
      <c r="G36" s="5"/>
      <c r="H36" s="5"/>
      <c r="I36" s="5"/>
      <c r="J36" s="6" t="s">
        <v>23</v>
      </c>
      <c r="K36" s="5">
        <f>1-EXP((1+54.4*K35)/(11+117.2*K35)*(K35-1)/K35^0.5)</f>
        <v>0.57278118332675398</v>
      </c>
      <c r="L36" s="5"/>
      <c r="M36" s="5"/>
      <c r="N36" s="5"/>
    </row>
    <row r="37" spans="1:16" x14ac:dyDescent="0.35">
      <c r="A37" s="9"/>
      <c r="B37" s="13" t="s">
        <v>9</v>
      </c>
      <c r="C37" s="24">
        <f>D8</f>
        <v>8.4125355218161047E-3</v>
      </c>
      <c r="D37" s="12">
        <f t="shared" ref="D37:D39" si="3">F8</f>
        <v>2.6748399999999997</v>
      </c>
      <c r="E37" s="12">
        <f>(D37*C37)/(D37-$F$33)</f>
        <v>1.3615657878129852E-2</v>
      </c>
      <c r="F37" s="14">
        <f>(F8*J21)/(F8-$F$33)</f>
        <v>1.6476850206260843E-2</v>
      </c>
      <c r="G37" s="5"/>
      <c r="H37" s="4" t="s">
        <v>20</v>
      </c>
      <c r="I37" s="3">
        <f>F40-1</f>
        <v>7.9373900538644353</v>
      </c>
      <c r="J37" s="6" t="s">
        <v>24</v>
      </c>
      <c r="K37" s="5">
        <f>(K36+D26)/(1-K36)</f>
        <v>157.19917307347777</v>
      </c>
      <c r="L37" s="6"/>
      <c r="M37" s="9"/>
    </row>
    <row r="38" spans="1:16" x14ac:dyDescent="0.35">
      <c r="A38" s="6" t="s">
        <v>16</v>
      </c>
      <c r="B38" s="13" t="s">
        <v>35</v>
      </c>
      <c r="C38" s="24">
        <f>D9</f>
        <v>0.82451260649319624</v>
      </c>
      <c r="D38" s="12">
        <f t="shared" si="3"/>
        <v>1.1479999999999999</v>
      </c>
      <c r="E38" s="12">
        <f>(D38*C38)/(D38-$F$33)</f>
        <v>7.5223874578933501</v>
      </c>
      <c r="F38" s="14">
        <f>(F9*J22)/(F9-$F$33)</f>
        <v>9.0121094347478117</v>
      </c>
      <c r="G38" s="5"/>
      <c r="H38" s="4" t="s">
        <v>21</v>
      </c>
      <c r="I38" s="2">
        <f>I35*I37</f>
        <v>8.731129059250879</v>
      </c>
      <c r="J38" s="5"/>
      <c r="K38" s="5"/>
      <c r="L38" s="6"/>
      <c r="M38" s="9"/>
      <c r="N38" s="5"/>
    </row>
    <row r="39" spans="1:16" x14ac:dyDescent="0.35">
      <c r="A39" s="6" t="s">
        <v>17</v>
      </c>
      <c r="B39" s="13" t="s">
        <v>7</v>
      </c>
      <c r="C39" s="24">
        <f>D10</f>
        <v>0.16707485104895919</v>
      </c>
      <c r="D39" s="12">
        <f t="shared" si="3"/>
        <v>1</v>
      </c>
      <c r="E39" s="12">
        <f>(D39*C39)/(D39-$F$33)</f>
        <v>-7.5360084206164881</v>
      </c>
      <c r="F39" s="14">
        <f>(F10*J23)/(F10-$F$33)</f>
        <v>-9.1196241129902211E-2</v>
      </c>
      <c r="G39" s="5"/>
      <c r="H39" s="5"/>
      <c r="I39" s="5"/>
      <c r="J39" s="6" t="s">
        <v>25</v>
      </c>
      <c r="K39" s="5">
        <f>0.206*LOG((K24/I24)*(C39/C38)*(L22/J23)^2,10)</f>
        <v>0.2823802259893981</v>
      </c>
      <c r="L39" s="6"/>
      <c r="M39" s="9"/>
      <c r="N39" s="5"/>
    </row>
    <row r="40" spans="1:16" x14ac:dyDescent="0.35">
      <c r="A40" s="9"/>
      <c r="B40" s="11" t="s">
        <v>29</v>
      </c>
      <c r="C40" s="25">
        <f t="shared" ref="C40" si="4">D11</f>
        <v>1</v>
      </c>
      <c r="D40" s="27"/>
      <c r="E40" s="12">
        <f>SUM(E36:E39)+F32</f>
        <v>0.99999470345177244</v>
      </c>
      <c r="F40" s="12">
        <f>SUM(F36:F39)</f>
        <v>8.9373900538644353</v>
      </c>
      <c r="G40" s="5"/>
      <c r="H40" s="5"/>
      <c r="J40" s="6" t="s">
        <v>26</v>
      </c>
      <c r="K40" s="5">
        <f>K37-K41</f>
        <v>103.28874546701294</v>
      </c>
      <c r="L40" s="6" t="s">
        <v>33</v>
      </c>
      <c r="M40" s="9">
        <f t="shared" ref="M40:M41" si="5">ROUNDUP(K40,0)</f>
        <v>104</v>
      </c>
      <c r="N40" s="5"/>
    </row>
    <row r="41" spans="1:16" x14ac:dyDescent="0.35">
      <c r="A41" s="9"/>
      <c r="B41" s="15"/>
      <c r="C41" s="9"/>
      <c r="D41" s="9"/>
      <c r="E41" s="9" t="s">
        <v>28</v>
      </c>
      <c r="F41" s="5"/>
      <c r="G41" s="5"/>
      <c r="H41" s="5"/>
      <c r="I41" s="5"/>
      <c r="J41" s="6" t="s">
        <v>27</v>
      </c>
      <c r="K41" s="5">
        <f>K37/(1+10^K39)</f>
        <v>53.910427606464822</v>
      </c>
      <c r="L41" s="6" t="s">
        <v>33</v>
      </c>
      <c r="M41" s="9">
        <f t="shared" si="5"/>
        <v>54</v>
      </c>
      <c r="N41" s="5"/>
      <c r="O41" s="5"/>
      <c r="P41" s="5"/>
    </row>
    <row r="42" spans="1:16" x14ac:dyDescent="0.35">
      <c r="A42" s="5"/>
      <c r="B42" s="5"/>
      <c r="C42" s="5"/>
      <c r="D42" s="5"/>
      <c r="E42" s="5"/>
      <c r="F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3.15" thickBot="1" x14ac:dyDescent="0.4">
      <c r="A47" s="9"/>
      <c r="B47" s="10" t="s">
        <v>38</v>
      </c>
      <c r="C47" s="10" t="s">
        <v>54</v>
      </c>
      <c r="D47" s="10" t="s">
        <v>55</v>
      </c>
      <c r="E47" s="10" t="s">
        <v>56</v>
      </c>
      <c r="F47" s="10" t="s">
        <v>57</v>
      </c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13.15" thickTop="1" x14ac:dyDescent="0.35">
      <c r="A48" s="6"/>
      <c r="B48" s="11" t="s">
        <v>34</v>
      </c>
      <c r="C48" s="12">
        <f>I20*($I$38+1)</f>
        <v>6.0173940381956188E-6</v>
      </c>
      <c r="D48" s="12">
        <f>I20*$I$38</f>
        <v>5.399028584242956E-6</v>
      </c>
      <c r="E48" s="12">
        <f>L20*$E$52</f>
        <v>0</v>
      </c>
      <c r="F48" s="12">
        <f>E48+K20</f>
        <v>0</v>
      </c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35">
      <c r="A49" s="9"/>
      <c r="B49" s="13" t="s">
        <v>9</v>
      </c>
      <c r="C49" s="14">
        <f t="shared" ref="C49:C51" si="6">I21*($I$38+1)</f>
        <v>7.2983467944381593</v>
      </c>
      <c r="D49" s="14">
        <f t="shared" ref="D49:D51" si="7">I21*$I$38</f>
        <v>6.5483467944381593</v>
      </c>
      <c r="E49" s="12">
        <f t="shared" ref="E49:E51" si="8">L21*$E$52</f>
        <v>0</v>
      </c>
      <c r="F49" s="14">
        <f t="shared" ref="F49:F51" si="9">E49+K21</f>
        <v>0</v>
      </c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5">
      <c r="A50" s="6"/>
      <c r="B50" s="13" t="s">
        <v>35</v>
      </c>
      <c r="C50" s="14">
        <f t="shared" si="6"/>
        <v>708.15785962965515</v>
      </c>
      <c r="D50" s="14">
        <f t="shared" si="7"/>
        <v>635.38543462965515</v>
      </c>
      <c r="E50" s="12">
        <f t="shared" si="8"/>
        <v>34.039757967391914</v>
      </c>
      <c r="F50" s="14">
        <f t="shared" si="9"/>
        <v>34.774832967391909</v>
      </c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35">
      <c r="A51" s="6"/>
      <c r="B51" s="13" t="s">
        <v>7</v>
      </c>
      <c r="C51" s="14">
        <f t="shared" si="6"/>
        <v>1.4494681186453593</v>
      </c>
      <c r="D51" s="14">
        <f t="shared" si="7"/>
        <v>1.3005164286801105</v>
      </c>
      <c r="E51" s="12">
        <f t="shared" si="8"/>
        <v>682.86592259274073</v>
      </c>
      <c r="F51" s="14">
        <f t="shared" si="9"/>
        <v>697.61213989930036</v>
      </c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35">
      <c r="A52" s="9"/>
      <c r="B52" s="11" t="s">
        <v>29</v>
      </c>
      <c r="C52" s="14">
        <f>SUM(C48:C51)</f>
        <v>716.90568056013262</v>
      </c>
      <c r="D52" s="14">
        <f>SUM(D48:D51)</f>
        <v>643.23430325180198</v>
      </c>
      <c r="E52" s="14">
        <f>C52-(1-$F$32)*C11</f>
        <v>716.90568056013262</v>
      </c>
      <c r="F52" s="14">
        <f>SUM(F48:F51)</f>
        <v>732.3869728666923</v>
      </c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x14ac:dyDescent="0.35">
      <c r="A95" s="5"/>
      <c r="I95" s="5"/>
      <c r="J95" s="5"/>
      <c r="K95" s="5"/>
      <c r="L95" s="5"/>
      <c r="M95" s="5"/>
      <c r="N95" s="5"/>
      <c r="O95" s="5"/>
      <c r="P95" s="5"/>
    </row>
  </sheetData>
  <sheetProtection selectLockedCells="1" selectUnlockedCells="1"/>
  <mergeCells count="1">
    <mergeCell ref="J18:M18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Prefrac</vt:lpstr>
      <vt:lpstr>2Top</vt:lpstr>
      <vt:lpstr>2Bottom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mjki3tr2</dc:creator>
  <cp:lastModifiedBy>mjki3tr2</cp:lastModifiedBy>
  <dcterms:created xsi:type="dcterms:W3CDTF">2014-09-25T16:57:31Z</dcterms:created>
  <dcterms:modified xsi:type="dcterms:W3CDTF">2023-07-09T16:30:08Z</dcterms:modified>
</cp:coreProperties>
</file>